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891d32d0745b1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Food" sheetId="1" ns1:id="R6314facdcc5a40fa"/>
    <sheet name="Bar" sheetId="2" ns1:id="R0533f50272ad47b7"/>
    <sheet name="Cafecito" sheetId="3" ns1:id="Raa3b000d09d1426b"/>
    <sheet name="Your Estimate" sheetId="4" ns1:id="R3f7f86adfbdc429a"/>
  </sheets>
  <calcPr calcMode="auto" fullCalcOnLoad="1"/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1">
    <numFmt numFmtId="200" formatCode="$#,##0.00;[Red]($#,##0.00);&quot;-&quot;"/>
  </numFmts>
  <fonts count="6">
    <font>
      <sz val="11"/>
      <name val="Carlito"/>
    </font>
    <font>
      <sz val="11"/>
      <name val="Arial"/>
    </font>
    <font>
      <b/>
      <sz val="16"/>
      <name val="Arial"/>
    </font>
    <font>
      <b/>
      <sz val="11"/>
      <name val="Arial"/>
    </font>
    <font>
      <b/>
      <sz val="11"/>
      <color rgb="FFFFFFFF"/>
      <name val="Arial"/>
    </font>
    <font>
      <sz val="9"/>
      <color rgb="FF666666"/>
      <name val="Arial"/>
    </font>
  </fonts>
  <fills count="6">
    <fill>
      <patternFill patternType="none"/>
    </fill>
    <fill>
      <patternFill patternType="gray125"/>
    </fill>
    <fill>
      <patternFill patternType="solid">
        <fgColor rgb="FF302D28"/>
      </patternFill>
    </fill>
    <fill>
      <patternFill patternType="solid">
        <fgColor rgb="FFF7F4EF"/>
      </patternFill>
    </fill>
    <fill>
      <patternFill patternType="solid">
        <fgColor rgb="FFFFF0BF"/>
      </patternFill>
    </fill>
    <fill>
      <patternFill patternType="solid">
        <fgColor rgb="FFEEE4D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NumberFormat="1" applyFont="1" applyFill="1" applyBorder="1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1" fillId="3" borderId="0" xfId="0" applyNumberFormat="1" applyFont="1" applyFill="1" applyBorder="1" applyAlignment="1">
      <alignment vertical="center" wrapText="1"/>
    </xf>
    <xf numFmtId="0" fontId="1" fillId="3" borderId="0" xfId="0" applyNumberFormat="1" applyFont="1" applyFill="1" applyBorder="1" applyAlignment="1">
      <alignment vertical="center"/>
    </xf>
    <xf numFmtId="0" fontId="1" fillId="4" borderId="0" xfId="0" applyNumberFormat="1" applyFont="1" applyFill="1" applyBorder="1" applyAlignment="1">
      <alignment vertical="center"/>
    </xf>
    <xf numFmtId="200" fontId="1" fillId="3" borderId="0" xfId="0" applyNumberFormat="1" applyFont="1" applyFill="1" applyBorder="1" applyAlignment="1">
      <alignment vertical="center"/>
    </xf>
    <xf numFmtId="200" fontId="1" fillId="0" borderId="0" xfId="0" applyNumberFormat="1" applyFont="1" applyFill="1" applyBorder="1" applyAlignment="1">
      <alignment vertical="center"/>
    </xf>
    <xf numFmtId="200" fontId="3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vertical="center"/>
    </xf>
    <xf numFmtId="0" fontId="1" fillId="5" borderId="0" xfId="0" applyNumberFormat="1" applyFont="1" applyFill="1" applyBorder="1" applyAlignment="1">
      <alignment vertical="center"/>
    </xf>
    <xf numFmtId="200" fontId="1" fillId="5" borderId="0" xfId="0" applyNumberFormat="1" applyFont="1" applyFill="1" applyBorder="1" applyAlignment="1">
      <alignment vertical="center"/>
    </xf>
    <xf numFmtId="0" fontId="3" fillId="5" borderId="0" xfId="0" applyNumberFormat="1" applyFont="1" applyFill="1" applyBorder="1" applyAlignment="1">
      <alignment vertical="center"/>
    </xf>
    <xf numFmtId="200" fontId="3" fillId="5" borderId="0" xfId="0" applyNumberFormat="1" applyFont="1" applyFill="1" applyBorder="1" applyAlignment="1">
      <alignment vertical="center"/>
    </xf>
    <xf numFmtId="0" fontId="1" fillId="4" borderId="0" xfId="0" applyNumberFormat="1" applyFont="1" applyFill="1" applyBorder="1" applyAlignment="1" applyProtection="1">
      <alignment vertical="center"/>
      <protection locked="0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4aaca15c41488c" /><Relationship Type="http://schemas.openxmlformats.org/officeDocument/2006/relationships/theme" Target="/xl/theme/theme1.xml" Id="Re5adc18c87964fa6" /><Relationship Type="http://schemas.openxmlformats.org/officeDocument/2006/relationships/sharedStrings" Target="/xl/sharedStrings.xml" Id="R28172af3d1fe4023" /><Relationship Type="http://schemas.openxmlformats.org/officeDocument/2006/relationships/worksheet" Target="/xl/worksheets/sheet1.xml" Id="R6314facdcc5a40fa" /><Relationship Type="http://schemas.openxmlformats.org/officeDocument/2006/relationships/worksheet" Target="/xl/worksheets/sheet2.xml" Id="R0533f50272ad47b7" /><Relationship Type="http://schemas.openxmlformats.org/officeDocument/2006/relationships/worksheet" Target="/xl/worksheets/sheet3.xml" Id="Raa3b000d09d1426b" /><Relationship Type="http://schemas.openxmlformats.org/officeDocument/2006/relationships/worksheet" Target="/xl/worksheets/sheet4.xml" Id="R3f7f86adfbdc429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98713B"/>
  </sheetPr>
  <sheetViews>
    <sheetView showGridLines="0" workbookViewId="0">
      <pane ySplit="6" topLeftCell="A7" activePane="bottomLeft" state="frozen"/>
    </sheetView>
  </sheetViews>
  <sheetFormatPr defaultRowHeight="15"/>
  <cols>
    <col min="1" max="1" width="31" hidden="0" customWidth="1"/>
    <col min="2" max="2" width="10" hidden="0" customWidth="1"/>
    <col min="3" max="3" width="8" hidden="0" customWidth="1"/>
    <col min="4" max="4" width="12" hidden="0" customWidth="1"/>
  </cols>
  <sheetData>
    <row r="1" ht="28" customHeight="1">
      <c r="A1" s="2"/>
      <c r="B1" s="2"/>
      <c r="C1" s="2"/>
      <c r="D1" s="2"/>
    </row>
    <row r="2" ht="28" customHeight="1">
      <c r="A2" s="3" t="str">
        <v>MODESTO SILOS</v>
      </c>
      <c r="B2" s="2"/>
      <c r="C2" s="2"/>
      <c r="D2" s="2"/>
    </row>
    <row r="3" ht="28" customHeight="1">
      <c r="A3" s="2" t="str">
        <v>FOOD</v>
      </c>
      <c r="B3" s="2"/>
      <c r="C3" s="2"/>
      <c r="D3" s="2"/>
    </row>
    <row r="4" ht="36" customHeight="1">
      <c r="A4" s="4" t="str">
        <v>Enter quantities in the yellow boxes.</v>
      </c>
      <c r="B4" s="4"/>
      <c r="C4" s="4"/>
      <c r="D4" s="4"/>
    </row>
    <row r="5" ht="28" customHeight="1">
      <c r="A5" s="2"/>
      <c r="B5" s="2"/>
      <c r="C5" s="2"/>
      <c r="D5" s="2"/>
    </row>
    <row r="6" ht="28" customHeight="1">
      <c r="A6" s="5" t="str">
        <v>Menu item</v>
      </c>
      <c r="B6" s="5" t="str">
        <v>Price</v>
      </c>
      <c r="C6" s="5" t="str">
        <v>Qty</v>
      </c>
      <c r="D6" s="5" t="str">
        <v>Total</v>
      </c>
    </row>
    <row r="7" ht="28" customHeight="1">
      <c r="A7" s="2"/>
      <c r="B7" s="2"/>
      <c r="C7" s="2"/>
      <c r="D7" s="2"/>
    </row>
    <row r="8" ht="28" customHeight="1">
      <c r="A8" s="7" t="str">
        <v>Breakfast</v>
      </c>
      <c r="B8" s="7"/>
      <c r="C8" s="7"/>
      <c r="D8" s="7"/>
    </row>
    <row r="9" ht="40" customHeight="1">
      <c r="A9" s="8" t="str">
        <v>Bagel and Cream Cheese</v>
      </c>
      <c r="B9" s="11" t="n">
        <v>7.99</v>
      </c>
      <c r="C9" s="19"/>
      <c r="D9" s="11" t="n">
        <f>IF(C9="",0,IF(OR(NOT(ISNUMBER(C9)),C9&lt;0,MOD(C9,1)&lt;&gt;0),"Check qty",ROUND(B9*C9,2)))</f>
        <v>0</v>
      </c>
    </row>
    <row r="10" ht="40" customHeight="1">
      <c r="A10" s="4" t="str">
        <v>Breakfast Sandwich</v>
      </c>
      <c r="B10" s="12" t="n">
        <v>11.99</v>
      </c>
      <c r="C10" s="19"/>
      <c r="D10" s="12" t="n">
        <f>IF(C10="",0,IF(OR(NOT(ISNUMBER(C10)),C10&lt;0,MOD(C10,1)&lt;&gt;0),"Check qty",ROUND(B10*C10,2)))</f>
        <v>0</v>
      </c>
    </row>
    <row r="11" ht="40" customHeight="1">
      <c r="A11" s="8" t="str">
        <v>Chilaquiles - green or red (spicy)</v>
      </c>
      <c r="B11" s="11" t="n">
        <v>19.99</v>
      </c>
      <c r="C11" s="19"/>
      <c r="D11" s="11" t="n">
        <f>IF(C11="",0,IF(OR(NOT(ISNUMBER(C11)),C11&lt;0,MOD(C11,1)&lt;&gt;0),"Check qty",ROUND(B11*C11,2)))</f>
        <v>0</v>
      </c>
    </row>
    <row r="12" ht="40" customHeight="1">
      <c r="A12" s="4" t="str">
        <v>Chorizo Breakfast Burrito</v>
      </c>
      <c r="B12" s="12" t="n">
        <v>11.99</v>
      </c>
      <c r="C12" s="19"/>
      <c r="D12" s="12" t="n">
        <f>IF(C12="",0,IF(OR(NOT(ISNUMBER(C12)),C12&lt;0,MOD(C12,1)&lt;&gt;0),"Check qty",ROUND(B12*C12,2)))</f>
        <v>0</v>
      </c>
    </row>
    <row r="13" ht="40" customHeight="1">
      <c r="A13" s="8" t="str">
        <v>Fresh Fruit Bowl</v>
      </c>
      <c r="B13" s="11" t="n">
        <v>7.99</v>
      </c>
      <c r="C13" s="19"/>
      <c r="D13" s="11" t="n">
        <f>IF(C13="",0,IF(OR(NOT(ISNUMBER(C13)),C13&lt;0,MOD(C13,1)&lt;&gt;0),"Check qty",ROUND(B13*C13,2)))</f>
        <v>0</v>
      </c>
    </row>
    <row r="14" ht="40" customHeight="1">
      <c r="A14" s="4" t="str">
        <v>Huevos Rancheros</v>
      </c>
      <c r="B14" s="12" t="n">
        <v>19.99</v>
      </c>
      <c r="C14" s="19"/>
      <c r="D14" s="12" t="n">
        <f>IF(C14="",0,IF(OR(NOT(ISNUMBER(C14)),C14&lt;0,MOD(C14,1)&lt;&gt;0),"Check qty",ROUND(B14*C14,2)))</f>
        <v>0</v>
      </c>
    </row>
    <row r="15" ht="40" customHeight="1">
      <c r="A15" s="8" t="str">
        <v>Pancake and Eggs Breakfast</v>
      </c>
      <c r="B15" s="11" t="n">
        <v>13.99</v>
      </c>
      <c r="C15" s="19"/>
      <c r="D15" s="11" t="n">
        <f>IF(C15="",0,IF(OR(NOT(ISNUMBER(C15)),C15&lt;0,MOD(C15,1)&lt;&gt;0),"Check qty",ROUND(B15*C15,2)))</f>
        <v>0</v>
      </c>
    </row>
    <row r="16" ht="40" customHeight="1">
      <c r="A16" s="4" t="str">
        <v>Mexican Omelette</v>
      </c>
      <c r="B16" s="12" t="n">
        <v>19.99</v>
      </c>
      <c r="C16" s="19"/>
      <c r="D16" s="12" t="n">
        <f>IF(C16="",0,IF(OR(NOT(ISNUMBER(C16)),C16&lt;0,MOD(C16,1)&lt;&gt;0),"Check qty",ROUND(B16*C16,2)))</f>
        <v>0</v>
      </c>
    </row>
    <row r="17" ht="40" customHeight="1">
      <c r="A17" s="8" t="str">
        <v>Veggie Omelette</v>
      </c>
      <c r="B17" s="11" t="n">
        <v>14.99</v>
      </c>
      <c r="C17" s="19"/>
      <c r="D17" s="11" t="n">
        <f>IF(C17="",0,IF(OR(NOT(ISNUMBER(C17)),C17&lt;0,MOD(C17,1)&lt;&gt;0),"Check qty",ROUND(B17*C17,2)))</f>
        <v>0</v>
      </c>
    </row>
    <row r="18" ht="40" customHeight="1">
      <c r="A18" s="4" t="str">
        <v>Avocado Toast</v>
      </c>
      <c r="B18" s="12" t="n">
        <v>9.99</v>
      </c>
      <c r="C18" s="19"/>
      <c r="D18" s="12" t="n">
        <f>IF(C18="",0,IF(OR(NOT(ISNUMBER(C18)),C18&lt;0,MOD(C18,1)&lt;&gt;0),"Check qty",ROUND(B18*C18,2)))</f>
        <v>0</v>
      </c>
    </row>
    <row r="19" ht="40" customHeight="1">
      <c r="A19" s="8" t="str">
        <v>Avocado Toast - add egg</v>
      </c>
      <c r="B19" s="11" t="n">
        <v>2.99</v>
      </c>
      <c r="C19" s="19"/>
      <c r="D19" s="11" t="n">
        <f>IF(C19="",0,IF(OR(NOT(ISNUMBER(C19)),C19&lt;0,MOD(C19,1)&lt;&gt;0),"Check qty",ROUND(B19*C19,2)))</f>
        <v>0</v>
      </c>
    </row>
    <row r="20" ht="40" customHeight="1">
      <c r="A20" s="4" t="str">
        <v>Avocado Toast - add bacon</v>
      </c>
      <c r="B20" s="12" t="n">
        <v>3.99</v>
      </c>
      <c r="C20" s="19"/>
      <c r="D20" s="12" t="n">
        <f>IF(C20="",0,IF(OR(NOT(ISNUMBER(C20)),C20&lt;0,MOD(C20,1)&lt;&gt;0),"Check qty",ROUND(B20*C20,2)))</f>
        <v>0</v>
      </c>
    </row>
    <row r="21" ht="28" customHeight="1">
      <c r="A21" s="2"/>
      <c r="B21" s="2"/>
      <c r="C21" s="2"/>
      <c r="D21" s="2"/>
    </row>
    <row r="22" ht="28" customHeight="1">
      <c r="A22" s="7" t="str">
        <v>Kids Menu</v>
      </c>
      <c r="B22" s="7"/>
      <c r="C22" s="7"/>
      <c r="D22" s="7"/>
    </row>
    <row r="23" ht="40" customHeight="1">
      <c r="A23" s="8" t="str">
        <v>Kids Breakfast</v>
      </c>
      <c r="B23" s="11" t="n">
        <v>7.99</v>
      </c>
      <c r="C23" s="19"/>
      <c r="D23" s="11" t="n">
        <f>IF(C23="",0,IF(OR(NOT(ISNUMBER(C23)),C23&lt;0,MOD(C23,1)&lt;&gt;0),"Check qty",ROUND(B23*C23,2)))</f>
        <v>0</v>
      </c>
    </row>
    <row r="24" ht="40" customHeight="1">
      <c r="A24" s="4" t="str">
        <v>Cheese Quesadilla</v>
      </c>
      <c r="B24" s="12" t="n">
        <v>9.99</v>
      </c>
      <c r="C24" s="19"/>
      <c r="D24" s="12" t="n">
        <f>IF(C24="",0,IF(OR(NOT(ISNUMBER(C24)),C24&lt;0,MOD(C24,1)&lt;&gt;0),"Check qty",ROUND(B24*C24,2)))</f>
        <v>0</v>
      </c>
    </row>
    <row r="25" ht="28" customHeight="1">
      <c r="A25" s="2"/>
      <c r="B25" s="2"/>
      <c r="C25" s="2"/>
      <c r="D25" s="2"/>
    </row>
    <row r="26" ht="28" customHeight="1">
      <c r="A26" s="7" t="str">
        <v>Bites - All Day</v>
      </c>
      <c r="B26" s="7"/>
      <c r="C26" s="7"/>
      <c r="D26" s="7"/>
    </row>
    <row r="27" ht="40" customHeight="1">
      <c r="A27" s="8" t="str">
        <v>The Silos Wings</v>
      </c>
      <c r="B27" s="11" t="n">
        <v>14.99</v>
      </c>
      <c r="C27" s="19"/>
      <c r="D27" s="11" t="n">
        <f>IF(C27="",0,IF(OR(NOT(ISNUMBER(C27)),C27&lt;0,MOD(C27,1)&lt;&gt;0),"Check qty",ROUND(B27*C27,2)))</f>
        <v>0</v>
      </c>
    </row>
    <row r="28" ht="40" customHeight="1">
      <c r="A28" s="4" t="str">
        <v>Taco - asada or chicken; corn, flour or lettuce wrap (each)</v>
      </c>
      <c r="B28" s="12" t="n">
        <v>4.99</v>
      </c>
      <c r="C28" s="19"/>
      <c r="D28" s="12" t="n">
        <f>IF(C28="",0,IF(OR(NOT(ISNUMBER(C28)),C28&lt;0,MOD(C28,1)&lt;&gt;0),"Check qty",ROUND(B28*C28,2)))</f>
        <v>0</v>
      </c>
    </row>
    <row r="29" ht="40" customHeight="1">
      <c r="A29" s="8" t="str">
        <v>Fajita Quesadilla - chicken or beef</v>
      </c>
      <c r="B29" s="11" t="n">
        <v>13.99</v>
      </c>
      <c r="C29" s="19"/>
      <c r="D29" s="11" t="n">
        <f>IF(C29="",0,IF(OR(NOT(ISNUMBER(C29)),C29&lt;0,MOD(C29,1)&lt;&gt;0),"Check qty",ROUND(B29*C29,2)))</f>
        <v>0</v>
      </c>
    </row>
    <row r="30" ht="40" customHeight="1">
      <c r="A30" s="4" t="str">
        <v>Nachos</v>
      </c>
      <c r="B30" s="12" t="n">
        <v>12.99</v>
      </c>
      <c r="C30" s="19"/>
      <c r="D30" s="12" t="n">
        <f>IF(C30="",0,IF(OR(NOT(ISNUMBER(C30)),C30&lt;0,MOD(C30,1)&lt;&gt;0),"Check qty",ROUND(B30*C30,2)))</f>
        <v>0</v>
      </c>
    </row>
    <row r="31" ht="40" customHeight="1">
      <c r="A31" s="8" t="str">
        <v>Nacho Fries</v>
      </c>
      <c r="B31" s="11" t="n">
        <v>11.99</v>
      </c>
      <c r="C31" s="19"/>
      <c r="D31" s="11" t="n">
        <f>IF(C31="",0,IF(OR(NOT(ISNUMBER(C31)),C31&lt;0,MOD(C31,1)&lt;&gt;0),"Check qty",ROUND(B31*C31,2)))</f>
        <v>0</v>
      </c>
    </row>
    <row r="32" ht="40" customHeight="1">
      <c r="A32" s="4" t="str">
        <v>Guacamole &amp; Chicharron</v>
      </c>
      <c r="B32" s="12" t="n">
        <v>14.99</v>
      </c>
      <c r="C32" s="19"/>
      <c r="D32" s="12" t="n">
        <f>IF(C32="",0,IF(OR(NOT(ISNUMBER(C32)),C32&lt;0,MOD(C32,1)&lt;&gt;0),"Check qty",ROUND(B32*C32,2)))</f>
        <v>0</v>
      </c>
    </row>
    <row r="33" ht="40" customHeight="1">
      <c r="A33" s="8" t="str">
        <v>Add asada/chicken to nachos or nacho fries</v>
      </c>
      <c r="B33" s="11" t="n">
        <v>3.99</v>
      </c>
      <c r="C33" s="19"/>
      <c r="D33" s="11" t="n">
        <f>IF(C33="",0,IF(OR(NOT(ISNUMBER(C33)),C33&lt;0,MOD(C33,1)&lt;&gt;0),"Check qty",ROUND(B33*C33,2)))</f>
        <v>0</v>
      </c>
    </row>
    <row r="34" ht="28" customHeight="1">
      <c r="A34" s="2"/>
      <c r="B34" s="2"/>
      <c r="C34" s="2"/>
      <c r="D34" s="2"/>
    </row>
    <row r="35" ht="28" customHeight="1">
      <c r="A35" s="7" t="str">
        <v>Dinner - After 2 PM</v>
      </c>
      <c r="B35" s="7"/>
      <c r="C35" s="7"/>
      <c r="D35" s="7"/>
    </row>
    <row r="36" ht="40" customHeight="1">
      <c r="A36" s="4" t="str">
        <v>Blackened Salmon - 7 oz</v>
      </c>
      <c r="B36" s="12" t="n">
        <v>27.99</v>
      </c>
      <c r="C36" s="19"/>
      <c r="D36" s="12" t="n">
        <f>IF(C36="",0,IF(OR(NOT(ISNUMBER(C36)),C36&lt;0,MOD(C36,1)&lt;&gt;0),"Check qty",ROUND(B36*C36,2)))</f>
        <v>0</v>
      </c>
    </row>
    <row r="37" ht="40" customHeight="1">
      <c r="A37" s="8" t="str">
        <v>Chicken Piccata</v>
      </c>
      <c r="B37" s="11" t="n">
        <v>26.99</v>
      </c>
      <c r="C37" s="19"/>
      <c r="D37" s="11" t="n">
        <f>IF(C37="",0,IF(OR(NOT(ISNUMBER(C37)),C37&lt;0,MOD(C37,1)&lt;&gt;0),"Check qty",ROUND(B37*C37,2)))</f>
        <v>0</v>
      </c>
    </row>
    <row r="38" ht="40" customHeight="1">
      <c r="A38" s="4" t="str">
        <v>Filet Mignon - 8 oz</v>
      </c>
      <c r="B38" s="12" t="n">
        <v>54.99</v>
      </c>
      <c r="C38" s="19"/>
      <c r="D38" s="12" t="n">
        <f>IF(C38="",0,IF(OR(NOT(ISNUMBER(C38)),C38&lt;0,MOD(C38,1)&lt;&gt;0),"Check qty",ROUND(B38*C38,2)))</f>
        <v>0</v>
      </c>
    </row>
    <row r="39" ht="40" customHeight="1">
      <c r="A39" s="8" t="str">
        <v>Ribeye Steak - 12 oz</v>
      </c>
      <c r="B39" s="11" t="n">
        <v>49.99</v>
      </c>
      <c r="C39" s="19"/>
      <c r="D39" s="11" t="n">
        <f>IF(C39="",0,IF(OR(NOT(ISNUMBER(C39)),C39&lt;0,MOD(C39,1)&lt;&gt;0),"Check qty",ROUND(B39*C39,2)))</f>
        <v>0</v>
      </c>
    </row>
    <row r="40" ht="40" customHeight="1">
      <c r="A40" s="4" t="str">
        <v>Surf &amp; Turf</v>
      </c>
      <c r="B40" s="12" t="n">
        <v>64.99</v>
      </c>
      <c r="C40" s="19"/>
      <c r="D40" s="12" t="n">
        <f>IF(C40="",0,IF(OR(NOT(ISNUMBER(C40)),C40&lt;0,MOD(C40,1)&lt;&gt;0),"Check qty",ROUND(B40*C40,2)))</f>
        <v>0</v>
      </c>
    </row>
    <row r="41" ht="28" customHeight="1">
      <c r="A41" s="2"/>
      <c r="B41" s="2"/>
      <c r="C41" s="2"/>
      <c r="D41" s="2"/>
    </row>
    <row r="42" ht="28" customHeight="1">
      <c r="A42" s="7" t="str">
        <v>Sandwiches &amp; Burgers</v>
      </c>
      <c r="B42" s="7"/>
      <c r="C42" s="7"/>
      <c r="D42" s="7"/>
    </row>
    <row r="43" ht="40" customHeight="1">
      <c r="A43" s="8" t="str">
        <v>The Silos Burger</v>
      </c>
      <c r="B43" s="11" t="n">
        <v>15.99</v>
      </c>
      <c r="C43" s="19"/>
      <c r="D43" s="11" t="n">
        <f>IF(C43="",0,IF(OR(NOT(ISNUMBER(C43)),C43&lt;0,MOD(C43,1)&lt;&gt;0),"Check qty",ROUND(B43*C43,2)))</f>
        <v>0</v>
      </c>
    </row>
    <row r="44" ht="40" customHeight="1">
      <c r="A44" s="4" t="str">
        <v>Spicy Chicken Sandwich</v>
      </c>
      <c r="B44" s="12" t="n">
        <v>15.99</v>
      </c>
      <c r="C44" s="19"/>
      <c r="D44" s="12" t="n">
        <f>IF(C44="",0,IF(OR(NOT(ISNUMBER(C44)),C44&lt;0,MOD(C44,1)&lt;&gt;0),"Check qty",ROUND(B44*C44,2)))</f>
        <v>0</v>
      </c>
    </row>
    <row r="45" ht="40" customHeight="1">
      <c r="A45" s="8" t="str">
        <v>Club Sandwich</v>
      </c>
      <c r="B45" s="11" t="n">
        <v>15.99</v>
      </c>
      <c r="C45" s="19"/>
      <c r="D45" s="11" t="n">
        <f>IF(C45="",0,IF(OR(NOT(ISNUMBER(C45)),C45&lt;0,MOD(C45,1)&lt;&gt;0),"Check qty",ROUND(B45*C45,2)))</f>
        <v>0</v>
      </c>
    </row>
    <row r="46" ht="28" customHeight="1">
      <c r="A46" s="2"/>
      <c r="B46" s="2"/>
      <c r="C46" s="2"/>
      <c r="D46" s="2"/>
    </row>
    <row r="47" ht="28" customHeight="1">
      <c r="A47" s="7" t="str">
        <v>Salads</v>
      </c>
      <c r="B47" s="7"/>
      <c r="C47" s="7"/>
      <c r="D47" s="7"/>
    </row>
    <row r="48" ht="40" customHeight="1">
      <c r="A48" s="4" t="str">
        <v>House Salad</v>
      </c>
      <c r="B48" s="12" t="n">
        <v>13.99</v>
      </c>
      <c r="C48" s="19"/>
      <c r="D48" s="12" t="n">
        <f>IF(C48="",0,IF(OR(NOT(ISNUMBER(C48)),C48&lt;0,MOD(C48,1)&lt;&gt;0),"Check qty",ROUND(B48*C48,2)))</f>
        <v>0</v>
      </c>
    </row>
    <row r="49" ht="40" customHeight="1">
      <c r="A49" s="8" t="str">
        <v>House Salad - add chicken</v>
      </c>
      <c r="B49" s="11" t="n">
        <v>4.99</v>
      </c>
      <c r="C49" s="19"/>
      <c r="D49" s="11" t="n">
        <f>IF(C49="",0,IF(OR(NOT(ISNUMBER(C49)),C49&lt;0,MOD(C49,1)&lt;&gt;0),"Check qty",ROUND(B49*C49,2)))</f>
        <v>0</v>
      </c>
    </row>
    <row r="50" ht="40" customHeight="1">
      <c r="A50" s="4" t="str">
        <v>Caesar Salad</v>
      </c>
      <c r="B50" s="12" t="n">
        <v>15.99</v>
      </c>
      <c r="C50" s="19"/>
      <c r="D50" s="12" t="n">
        <f>IF(C50="",0,IF(OR(NOT(ISNUMBER(C50)),C50&lt;0,MOD(C50,1)&lt;&gt;0),"Check qty",ROUND(B50*C50,2)))</f>
        <v>0</v>
      </c>
    </row>
    <row r="51" ht="28" customHeight="1">
      <c r="A51" s="2"/>
      <c r="B51" s="2"/>
      <c r="C51" s="2"/>
      <c r="D51" s="2"/>
    </row>
    <row r="52" ht="28" customHeight="1">
      <c r="A52" s="7" t="str">
        <v>Sides</v>
      </c>
      <c r="B52" s="7"/>
      <c r="C52" s="7"/>
      <c r="D52" s="7"/>
    </row>
    <row r="53" ht="40" customHeight="1">
      <c r="A53" s="8" t="str">
        <v>Fries</v>
      </c>
      <c r="B53" s="11" t="n">
        <v>6.99</v>
      </c>
      <c r="C53" s="19"/>
      <c r="D53" s="11" t="n">
        <f>IF(C53="",0,IF(OR(NOT(ISNUMBER(C53)),C53&lt;0,MOD(C53,1)&lt;&gt;0),"Check qty",ROUND(B53*C53,2)))</f>
        <v>0</v>
      </c>
    </row>
    <row r="54" ht="40" customHeight="1">
      <c r="A54" s="4" t="str">
        <v>Onion Rings</v>
      </c>
      <c r="B54" s="12" t="n">
        <v>9.99</v>
      </c>
      <c r="C54" s="19"/>
      <c r="D54" s="12" t="n">
        <f>IF(C54="",0,IF(OR(NOT(ISNUMBER(C54)),C54&lt;0,MOD(C54,1)&lt;&gt;0),"Check qty",ROUND(B54*C54,2)))</f>
        <v>0</v>
      </c>
    </row>
    <row r="55" ht="40" customHeight="1">
      <c r="A55" s="8" t="str">
        <v>Garlic Mashed Potatoes</v>
      </c>
      <c r="B55" s="11" t="n">
        <v>12.99</v>
      </c>
      <c r="C55" s="19"/>
      <c r="D55" s="11" t="n">
        <f>IF(C55="",0,IF(OR(NOT(ISNUMBER(C55)),C55&lt;0,MOD(C55,1)&lt;&gt;0),"Check qty",ROUND(B55*C55,2)))</f>
        <v>0</v>
      </c>
    </row>
    <row r="56" ht="40" customHeight="1">
      <c r="A56" s="4" t="str">
        <v>Asparagus</v>
      </c>
      <c r="B56" s="12" t="n">
        <v>12.99</v>
      </c>
      <c r="C56" s="19"/>
      <c r="D56" s="12" t="n">
        <f>IF(C56="",0,IF(OR(NOT(ISNUMBER(C56)),C56&lt;0,MOD(C56,1)&lt;&gt;0),"Check qty",ROUND(B56*C56,2)))</f>
        <v>0</v>
      </c>
    </row>
    <row r="57" ht="40" customHeight="1">
      <c r="A57" s="8" t="str">
        <v>Brussels Sprouts</v>
      </c>
      <c r="B57" s="11" t="n">
        <v>12.99</v>
      </c>
      <c r="C57" s="19"/>
      <c r="D57" s="11" t="n">
        <f>IF(C57="",0,IF(OR(NOT(ISNUMBER(C57)),C57&lt;0,MOD(C57,1)&lt;&gt;0),"Check qty",ROUND(B57*C57,2)))</f>
        <v>0</v>
      </c>
    </row>
    <row r="58" ht="28" customHeight="1">
      <c r="A58" s="2"/>
      <c r="B58" s="2"/>
      <c r="C58" s="2"/>
      <c r="D58" s="2"/>
    </row>
    <row r="59" ht="28" customHeight="1">
      <c r="A59" s="7" t="str">
        <v>Desserts</v>
      </c>
      <c r="B59" s="7"/>
      <c r="C59" s="7"/>
      <c r="D59" s="7"/>
    </row>
    <row r="60" ht="40" customHeight="1">
      <c r="A60" s="4" t="str">
        <v>Tres Leches</v>
      </c>
      <c r="B60" s="12" t="n">
        <v>12.99</v>
      </c>
      <c r="C60" s="19"/>
      <c r="D60" s="12" t="n">
        <f>IF(C60="",0,IF(OR(NOT(ISNUMBER(C60)),C60&lt;0,MOD(C60,1)&lt;&gt;0),"Check qty",ROUND(B60*C60,2)))</f>
        <v>0</v>
      </c>
    </row>
    <row r="61" ht="40" customHeight="1">
      <c r="A61" s="8" t="str">
        <v>Five-Layer Chocolate Cake</v>
      </c>
      <c r="B61" s="11" t="n">
        <v>14.99</v>
      </c>
      <c r="C61" s="19"/>
      <c r="D61" s="11" t="n">
        <f>IF(C61="",0,IF(OR(NOT(ISNUMBER(C61)),C61&lt;0,MOD(C61,1)&lt;&gt;0),"Check qty",ROUND(B61*C61,2)))</f>
        <v>0</v>
      </c>
    </row>
    <row r="62" ht="40" customHeight="1">
      <c r="A62" s="4" t="str">
        <v>Churros Los Silos</v>
      </c>
      <c r="B62" s="12" t="n">
        <v>10.99</v>
      </c>
      <c r="C62" s="19"/>
      <c r="D62" s="12" t="n">
        <f>IF(C62="",0,IF(OR(NOT(ISNUMBER(C62)),C62&lt;0,MOD(C62,1)&lt;&gt;0),"Check qty",ROUND(B62*C62,2)))</f>
        <v>0</v>
      </c>
    </row>
    <row r="63" ht="28" customHeight="1">
      <c r="A63" s="2"/>
      <c r="B63" s="2"/>
      <c r="C63" s="2"/>
      <c r="D63" s="2"/>
    </row>
    <row r="64" ht="28" customHeight="1">
      <c r="A64" s="7" t="str">
        <v>SUBTOTAL</v>
      </c>
      <c r="B64" s="7"/>
      <c r="C64" s="7"/>
      <c r="D64" s="7"/>
    </row>
    <row r="65" ht="28" customHeight="1">
      <c r="A65" s="2"/>
      <c r="B65" s="2"/>
      <c r="C65" s="2"/>
      <c r="D65" s="13" t="n">
        <f>IF(COUNTIFS(D8:D63,"Check qty")&gt;0,"Check qty",SUM(D8:D63))</f>
        <v>0</v>
      </c>
    </row>
    <row r="66" ht="28" customHeight="1">
      <c r="A66" s="2"/>
      <c r="B66" s="2"/>
      <c r="C66" s="2"/>
      <c r="D66" s="2"/>
    </row>
    <row r="67" ht="36" customHeight="1">
      <c r="A67" s="4" t="str">
        <v>See Your Estimate for the combined total + gratuity.</v>
      </c>
      <c r="B67" s="4"/>
      <c r="C67" s="4"/>
      <c r="D67" s="4"/>
    </row>
    <row r="68" ht="28" customHeight="1">
      <c r="A68" s="2"/>
      <c r="B68" s="2"/>
      <c r="C68" s="2"/>
      <c r="D68" s="2"/>
    </row>
    <row r="69" ht="38" customHeight="1">
      <c r="A69" s="4" t="str">
        <v>Quantities are regular orders, not trays or guest counts.</v>
      </c>
      <c r="B69" s="4"/>
      <c r="C69" s="4"/>
      <c r="D69" s="4"/>
    </row>
    <row r="70" ht="28" customHeight="1">
      <c r="A70" s="2"/>
      <c r="B70" s="2"/>
      <c r="C70" s="2"/>
      <c r="D70" s="2"/>
    </row>
    <row r="71" ht="28" customHeight="1">
      <c r="A71" s="14" t="str">
        <v>Source: event menu Rev 3, October 16, 2026.</v>
      </c>
      <c r="B71" s="14"/>
      <c r="C71" s="14"/>
      <c r="D71" s="14"/>
    </row>
    <row r="72" ht="28" customHeight="1">
      <c r="A72" s="2"/>
      <c r="B72" s="2"/>
      <c r="C72" s="2"/>
      <c r="D72" s="2"/>
    </row>
    <row r="73" ht="28" customHeight="1">
      <c r="A73" s="2"/>
      <c r="B73" s="2"/>
      <c r="C73" s="2"/>
      <c r="D73" s="2"/>
    </row>
    <row r="74" ht="28" customHeight="1">
      <c r="A74" s="2"/>
      <c r="B74" s="2"/>
      <c r="C74" s="2"/>
      <c r="D74" s="2"/>
    </row>
    <row r="75" ht="28" customHeight="1">
      <c r="A75" s="2"/>
      <c r="B75" s="2"/>
      <c r="C75" s="2"/>
      <c r="D75" s="2"/>
    </row>
    <row r="76" ht="28" customHeight="1">
      <c r="A76" s="2"/>
      <c r="B76" s="2"/>
      <c r="C76" s="2"/>
      <c r="D76" s="2"/>
    </row>
    <row r="77" ht="28" customHeight="1">
      <c r="A77" s="2"/>
      <c r="B77" s="2"/>
      <c r="C77" s="2"/>
      <c r="D77" s="2"/>
    </row>
    <row r="78" ht="28" customHeight="1">
      <c r="A78" s="2"/>
      <c r="B78" s="2"/>
      <c r="C78" s="2"/>
      <c r="D78" s="2"/>
    </row>
    <row r="79" ht="28" customHeight="1">
      <c r="A79" s="2"/>
      <c r="B79" s="2"/>
      <c r="C79" s="2"/>
      <c r="D79" s="2"/>
    </row>
    <row r="80" ht="28" customHeight="1">
      <c r="A80" s="2"/>
      <c r="B80" s="2"/>
      <c r="C80" s="2"/>
      <c r="D80" s="2"/>
    </row>
    <row r="81" ht="28" customHeight="1">
      <c r="A81" s="2"/>
      <c r="B81" s="2"/>
      <c r="C81" s="2"/>
      <c r="D81" s="2"/>
    </row>
    <row r="82" ht="28" customHeight="1">
      <c r="A82" s="2"/>
      <c r="B82" s="2"/>
      <c r="C82" s="2"/>
      <c r="D82" s="2"/>
    </row>
    <row r="83" ht="28" customHeight="1">
      <c r="A83" s="2"/>
      <c r="B83" s="2"/>
      <c r="C83" s="2"/>
      <c r="D83" s="2"/>
    </row>
    <row r="84" ht="28" customHeight="1">
      <c r="A84" s="2"/>
      <c r="B84" s="2"/>
      <c r="C84" s="2"/>
      <c r="D84" s="2"/>
    </row>
    <row r="85" ht="28" customHeight="1">
      <c r="A85" s="2"/>
      <c r="B85" s="2"/>
      <c r="C85" s="2"/>
      <c r="D85" s="2"/>
    </row>
    <row r="86" ht="28" customHeight="1">
      <c r="A86" s="2"/>
      <c r="B86" s="2"/>
      <c r="C86" s="2"/>
      <c r="D86" s="2"/>
    </row>
    <row r="87" ht="28" customHeight="1">
      <c r="A87" s="2"/>
      <c r="B87" s="2"/>
      <c r="C87" s="2"/>
      <c r="D87" s="2"/>
    </row>
    <row r="88" ht="28" customHeight="1">
      <c r="A88" s="2"/>
      <c r="B88" s="2"/>
      <c r="C88" s="2"/>
      <c r="D88" s="2"/>
    </row>
    <row r="89" ht="28" customHeight="1">
      <c r="A89" s="2"/>
      <c r="B89" s="2"/>
      <c r="C89" s="2"/>
      <c r="D89" s="2"/>
    </row>
    <row r="90" ht="28" customHeight="1">
      <c r="A90" s="2"/>
      <c r="B90" s="2"/>
      <c r="C90" s="2"/>
      <c r="D90" s="2"/>
    </row>
    <row r="91" ht="28" customHeight="1">
      <c r="A91" s="2"/>
      <c r="B91" s="2"/>
      <c r="C91" s="2"/>
      <c r="D91" s="2"/>
    </row>
    <row r="92" ht="28" customHeight="1">
      <c r="A92" s="2"/>
      <c r="B92" s="2"/>
      <c r="C92" s="2"/>
      <c r="D92" s="2"/>
    </row>
    <row r="93" ht="28" customHeight="1">
      <c r="A93" s="2"/>
      <c r="B93" s="2"/>
      <c r="C93" s="2"/>
      <c r="D93" s="2"/>
    </row>
    <row r="94" ht="28" customHeight="1">
      <c r="A94" s="2"/>
      <c r="B94" s="2"/>
      <c r="C94" s="2"/>
      <c r="D94" s="2"/>
    </row>
    <row r="95" ht="28" customHeight="1">
      <c r="A95" s="2"/>
      <c r="B95" s="2"/>
      <c r="C95" s="2"/>
      <c r="D95" s="2"/>
    </row>
    <row r="96" ht="28" customHeight="1">
      <c r="A96" s="2"/>
      <c r="B96" s="2"/>
      <c r="C96" s="2"/>
      <c r="D96" s="2"/>
    </row>
    <row r="97" ht="28" customHeight="1">
      <c r="A97" s="2"/>
      <c r="B97" s="2"/>
      <c r="C97" s="2"/>
      <c r="D97" s="2"/>
    </row>
    <row r="98" ht="28" customHeight="1">
      <c r="A98" s="2"/>
      <c r="B98" s="2"/>
      <c r="C98" s="2"/>
      <c r="D98" s="2"/>
    </row>
    <row r="99" ht="28" customHeight="1">
      <c r="A99" s="2"/>
      <c r="B99" s="2"/>
      <c r="C99" s="2"/>
      <c r="D99" s="2"/>
    </row>
    <row r="100" ht="28" customHeight="1">
      <c r="A100" s="2"/>
      <c r="B100" s="2"/>
      <c r="C100" s="2"/>
      <c r="D100" s="2"/>
    </row>
    <row r="101" ht="28" customHeight="1">
      <c r="A101" s="2"/>
      <c r="B101" s="2"/>
      <c r="C101" s="2"/>
      <c r="D101" s="2"/>
    </row>
    <row r="102" ht="28" customHeight="1">
      <c r="A102" s="2"/>
      <c r="B102" s="2"/>
      <c r="C102" s="2"/>
      <c r="D102" s="2"/>
    </row>
    <row r="103" ht="28" customHeight="1">
      <c r="A103" s="2"/>
      <c r="B103" s="2"/>
      <c r="C103" s="2"/>
      <c r="D103" s="2"/>
    </row>
    <row r="104" ht="28" customHeight="1">
      <c r="A104" s="2"/>
      <c r="B104" s="2"/>
      <c r="C104" s="2"/>
      <c r="D104" s="2"/>
    </row>
    <row r="105" ht="28" customHeight="1">
      <c r="A105" s="2"/>
      <c r="B105" s="2"/>
      <c r="C105" s="2"/>
      <c r="D105" s="2"/>
    </row>
    <row r="106" ht="28" customHeight="1">
      <c r="A106" s="2"/>
      <c r="B106" s="2"/>
      <c r="C106" s="2"/>
      <c r="D106" s="2"/>
    </row>
    <row r="107" ht="28" customHeight="1">
      <c r="A107" s="2"/>
      <c r="B107" s="2"/>
      <c r="C107" s="2"/>
      <c r="D107" s="2"/>
    </row>
    <row r="108" ht="28" customHeight="1">
      <c r="A108" s="2"/>
      <c r="B108" s="2"/>
      <c r="C108" s="2"/>
      <c r="D108" s="2"/>
    </row>
    <row r="109" ht="28" customHeight="1">
      <c r="A109" s="2"/>
      <c r="B109" s="2"/>
      <c r="C109" s="2"/>
      <c r="D109" s="2"/>
    </row>
    <row r="110" ht="28" customHeight="1">
      <c r="A110" s="2"/>
      <c r="B110" s="2"/>
      <c r="C110" s="2"/>
      <c r="D110" s="2"/>
    </row>
    <row r="111" ht="28" customHeight="1">
      <c r="A111" s="2"/>
      <c r="B111" s="2"/>
      <c r="C111" s="2"/>
      <c r="D111" s="2"/>
    </row>
    <row r="112" ht="28" customHeight="1">
      <c r="A112" s="2"/>
      <c r="B112" s="2"/>
      <c r="C112" s="2"/>
      <c r="D112" s="2"/>
    </row>
    <row r="113" ht="28" customHeight="1">
      <c r="A113" s="2"/>
      <c r="B113" s="2"/>
      <c r="C113" s="2"/>
      <c r="D113" s="2"/>
    </row>
    <row r="114" ht="28" customHeight="1">
      <c r="A114" s="2"/>
      <c r="B114" s="2"/>
      <c r="C114" s="2"/>
      <c r="D114" s="2"/>
    </row>
    <row r="115" ht="28" customHeight="1">
      <c r="A115" s="2"/>
      <c r="B115" s="2"/>
      <c r="C115" s="2"/>
      <c r="D115" s="2"/>
    </row>
    <row r="116" ht="28" customHeight="1">
      <c r="A116" s="2"/>
      <c r="B116" s="2"/>
      <c r="C116" s="2"/>
      <c r="D116" s="2"/>
    </row>
    <row r="117" ht="28" customHeight="1">
      <c r="A117" s="2"/>
      <c r="B117" s="2"/>
      <c r="C117" s="2"/>
      <c r="D117" s="2"/>
    </row>
    <row r="118" ht="28" customHeight="1">
      <c r="A118" s="2"/>
      <c r="B118" s="2"/>
      <c r="C118" s="2"/>
      <c r="D118" s="2"/>
    </row>
    <row r="119" ht="28" customHeight="1">
      <c r="A119" s="2"/>
      <c r="B119" s="2"/>
      <c r="C119" s="2"/>
      <c r="D119" s="2"/>
    </row>
    <row r="120" ht="28" customHeight="1">
      <c r="A120" s="2"/>
      <c r="B120" s="2"/>
      <c r="C120" s="2"/>
      <c r="D120" s="2"/>
    </row>
    <row r="121" ht="28" customHeight="1">
      <c r="A121" s="2"/>
      <c r="B121" s="2"/>
      <c r="C121" s="2"/>
      <c r="D121" s="2"/>
    </row>
    <row r="122" ht="28" customHeight="1">
      <c r="A122" s="2"/>
      <c r="B122" s="2"/>
      <c r="C122" s="2"/>
      <c r="D122" s="2"/>
    </row>
    <row r="123" ht="28" customHeight="1">
      <c r="A123" s="2"/>
      <c r="B123" s="2"/>
      <c r="C123" s="2"/>
      <c r="D123" s="2"/>
    </row>
    <row r="124" ht="28" customHeight="1">
      <c r="A124" s="2"/>
      <c r="B124" s="2"/>
      <c r="C124" s="2"/>
      <c r="D124" s="2"/>
    </row>
    <row r="125" ht="28" customHeight="1">
      <c r="A125" s="2"/>
      <c r="B125" s="2"/>
      <c r="C125" s="2"/>
      <c r="D125" s="2"/>
    </row>
    <row r="126" ht="28" customHeight="1">
      <c r="A126" s="2"/>
      <c r="B126" s="2"/>
      <c r="C126" s="2"/>
      <c r="D126" s="2"/>
    </row>
    <row r="127" ht="28" customHeight="1">
      <c r="A127" s="2"/>
      <c r="B127" s="2"/>
      <c r="C127" s="2"/>
      <c r="D127" s="2"/>
    </row>
    <row r="128" ht="28" customHeight="1">
      <c r="A128" s="2"/>
      <c r="B128" s="2"/>
      <c r="C128" s="2"/>
      <c r="D128" s="2"/>
    </row>
    <row r="129" ht="28" customHeight="1">
      <c r="A129" s="2"/>
      <c r="B129" s="2"/>
      <c r="C129" s="2"/>
      <c r="D129" s="2"/>
    </row>
    <row r="130" ht="28" customHeight="1">
      <c r="A130" s="2"/>
      <c r="B130" s="2"/>
      <c r="C130" s="2"/>
      <c r="D130" s="2"/>
    </row>
    <row r="131" ht="28" customHeight="1">
      <c r="A131" s="2"/>
      <c r="B131" s="2"/>
      <c r="C131" s="2"/>
      <c r="D131" s="2"/>
    </row>
    <row r="132" ht="28" customHeight="1">
      <c r="A132" s="2"/>
      <c r="B132" s="2"/>
      <c r="C132" s="2"/>
      <c r="D132" s="2"/>
    </row>
    <row r="133" ht="28" customHeight="1">
      <c r="A133" s="2"/>
      <c r="B133" s="2"/>
      <c r="C133" s="2"/>
      <c r="D133" s="2"/>
    </row>
    <row r="134" ht="28" customHeight="1">
      <c r="A134" s="2"/>
      <c r="B134" s="2"/>
      <c r="C134" s="2"/>
      <c r="D134" s="2"/>
    </row>
    <row r="135" ht="28" customHeight="1">
      <c r="A135" s="2"/>
      <c r="B135" s="2"/>
      <c r="C135" s="2"/>
      <c r="D135" s="2"/>
    </row>
    <row r="136" ht="28" customHeight="1">
      <c r="A136" s="2"/>
      <c r="B136" s="2"/>
      <c r="C136" s="2"/>
      <c r="D136" s="2"/>
    </row>
    <row r="137" ht="28" customHeight="1">
      <c r="A137" s="2"/>
      <c r="B137" s="2"/>
      <c r="C137" s="2"/>
      <c r="D137" s="2"/>
    </row>
    <row r="138" ht="28" customHeight="1">
      <c r="A138" s="2"/>
      <c r="B138" s="2"/>
      <c r="C138" s="2"/>
      <c r="D138" s="2"/>
    </row>
    <row r="139" ht="28" customHeight="1">
      <c r="A139" s="2"/>
      <c r="B139" s="2"/>
      <c r="C139" s="2"/>
      <c r="D139" s="2"/>
    </row>
    <row r="140" ht="28" customHeight="1">
      <c r="A140" s="2"/>
      <c r="B140" s="2"/>
      <c r="C140" s="2"/>
      <c r="D140" s="2"/>
    </row>
    <row r="141" ht="28" customHeight="1">
      <c r="A141" s="2"/>
      <c r="B141" s="2"/>
      <c r="C141" s="2"/>
      <c r="D141" s="2"/>
    </row>
    <row r="142" ht="28" customHeight="1">
      <c r="A142" s="2"/>
      <c r="B142" s="2"/>
      <c r="C142" s="2"/>
      <c r="D142" s="2"/>
    </row>
    <row r="143" ht="28" customHeight="1">
      <c r="A143" s="2"/>
      <c r="B143" s="2"/>
      <c r="C143" s="2"/>
      <c r="D143" s="2"/>
    </row>
    <row r="144" ht="28" customHeight="1">
      <c r="A144" s="2"/>
      <c r="B144" s="2"/>
      <c r="C144" s="2"/>
      <c r="D144" s="2"/>
    </row>
    <row r="145" ht="28" customHeight="1">
      <c r="A145" s="2"/>
      <c r="B145" s="2"/>
      <c r="C145" s="2"/>
      <c r="D145" s="2"/>
    </row>
    <row r="146" ht="28" customHeight="1">
      <c r="A146" s="2"/>
      <c r="B146" s="2"/>
      <c r="C146" s="2"/>
      <c r="D146" s="2"/>
    </row>
    <row r="147" ht="28" customHeight="1">
      <c r="A147" s="2"/>
      <c r="B147" s="2"/>
      <c r="C147" s="2"/>
      <c r="D147" s="2"/>
    </row>
    <row r="148" ht="28" customHeight="1">
      <c r="A148" s="2"/>
      <c r="B148" s="2"/>
      <c r="C148" s="2"/>
      <c r="D148" s="2"/>
    </row>
    <row r="149" ht="28" customHeight="1">
      <c r="A149" s="2"/>
      <c r="B149" s="2"/>
      <c r="C149" s="2"/>
      <c r="D149" s="2"/>
    </row>
    <row r="150" ht="28" customHeight="1">
      <c r="A150" s="2"/>
      <c r="B150" s="2"/>
      <c r="C150" s="2"/>
      <c r="D150" s="2"/>
    </row>
    <row r="151" ht="28" customHeight="1">
      <c r="A151" s="2"/>
      <c r="B151" s="2"/>
      <c r="C151" s="2"/>
      <c r="D151" s="2"/>
    </row>
    <row r="152" ht="28" customHeight="1">
      <c r="A152" s="2"/>
      <c r="B152" s="2"/>
      <c r="C152" s="2"/>
      <c r="D152" s="2"/>
    </row>
    <row r="153" ht="28" customHeight="1">
      <c r="A153" s="2"/>
      <c r="B153" s="2"/>
      <c r="C153" s="2"/>
      <c r="D153" s="2"/>
    </row>
    <row r="154" ht="28" customHeight="1">
      <c r="A154" s="2"/>
      <c r="B154" s="2"/>
      <c r="C154" s="2"/>
      <c r="D154" s="2"/>
    </row>
    <row r="155" ht="28" customHeight="1">
      <c r="A155" s="2"/>
      <c r="B155" s="2"/>
      <c r="C155" s="2"/>
      <c r="D155" s="2"/>
    </row>
    <row r="156" ht="28" customHeight="1">
      <c r="A156" s="2"/>
      <c r="B156" s="2"/>
      <c r="C156" s="2"/>
      <c r="D156" s="2"/>
    </row>
    <row r="157" ht="28" customHeight="1">
      <c r="A157" s="2"/>
      <c r="B157" s="2"/>
      <c r="C157" s="2"/>
      <c r="D157" s="2"/>
    </row>
    <row r="158" ht="28" customHeight="1">
      <c r="A158" s="2"/>
      <c r="B158" s="2"/>
      <c r="C158" s="2"/>
      <c r="D158" s="2"/>
    </row>
    <row r="159" ht="28" customHeight="1">
      <c r="A159" s="2"/>
      <c r="B159" s="2"/>
      <c r="C159" s="2"/>
      <c r="D159" s="2"/>
    </row>
    <row r="160" ht="28" customHeight="1">
      <c r="A160" s="2"/>
      <c r="B160" s="2"/>
      <c r="C160" s="2"/>
      <c r="D160" s="2"/>
    </row>
    <row r="161" ht="28" customHeight="1">
      <c r="A161" s="2"/>
      <c r="B161" s="2"/>
      <c r="C161" s="2"/>
      <c r="D161" s="2"/>
    </row>
    <row r="162" ht="28" customHeight="1">
      <c r="A162" s="2"/>
      <c r="B162" s="2"/>
      <c r="C162" s="2"/>
      <c r="D162" s="2"/>
    </row>
    <row r="163" ht="28" customHeight="1">
      <c r="A163" s="2"/>
      <c r="B163" s="2"/>
      <c r="C163" s="2"/>
      <c r="D163" s="2"/>
    </row>
    <row r="164" ht="28" customHeight="1">
      <c r="A164" s="2"/>
      <c r="B164" s="2"/>
      <c r="C164" s="2"/>
      <c r="D164" s="2"/>
    </row>
    <row r="165" ht="28" customHeight="1">
      <c r="A165" s="2"/>
      <c r="B165" s="2"/>
      <c r="C165" s="2"/>
      <c r="D165" s="2"/>
    </row>
    <row r="166" ht="28" customHeight="1">
      <c r="A166" s="2"/>
      <c r="B166" s="2"/>
      <c r="C166" s="2"/>
      <c r="D166" s="2"/>
    </row>
    <row r="167" ht="28" customHeight="1">
      <c r="A167" s="2"/>
      <c r="B167" s="2"/>
      <c r="C167" s="2"/>
      <c r="D167" s="2"/>
    </row>
    <row r="168" ht="28" customHeight="1">
      <c r="A168" s="2"/>
      <c r="B168" s="2"/>
      <c r="C168" s="2"/>
      <c r="D168" s="2"/>
    </row>
    <row r="169" ht="28" customHeight="1">
      <c r="A169" s="2"/>
      <c r="B169" s="2"/>
      <c r="C169" s="2"/>
      <c r="D169" s="2"/>
    </row>
    <row r="170" ht="28" customHeight="1">
      <c r="A170" s="2"/>
      <c r="B170" s="2"/>
      <c r="C170" s="2"/>
      <c r="D170" s="2"/>
    </row>
  </sheetData>
  <sheetProtection sheet="1" objects="1" scenarios="1" selectLockedCells="0" selectUnlockedCells="0"/>
  <mergeCells>
    <mergeCell ref="A2:D2"/>
    <mergeCell ref="A3:D3"/>
    <mergeCell ref="A4:D4"/>
    <mergeCell ref="A8:D8"/>
    <mergeCell ref="A22:D22"/>
    <mergeCell ref="A26:D26"/>
    <mergeCell ref="A35:D35"/>
    <mergeCell ref="A42:D42"/>
    <mergeCell ref="A47:D47"/>
    <mergeCell ref="A52:D52"/>
    <mergeCell ref="A59:D59"/>
    <mergeCell ref="A64:D64"/>
    <mergeCell ref="A67:D67"/>
    <mergeCell ref="A69:D69"/>
    <mergeCell ref="A71:D71"/>
  </mergeCells>
  <dataValidations count="40">
    <dataValidation type="whole" operator="between" sqref="C9" showErrorMessage="1" errorStyle="stop" errorTitle="Quantity" error="Enter a whole number of zero or more." allowBlank="1">
      <formula1>0</formula1>
      <formula2>10000</formula2>
    </dataValidation>
    <dataValidation type="whole" operator="between" sqref="C10" showErrorMessage="1" errorStyle="stop" errorTitle="Quantity" error="Enter a whole number of zero or more." allowBlank="1">
      <formula1>0</formula1>
      <formula2>10000</formula2>
    </dataValidation>
    <dataValidation type="whole" operator="between" sqref="C11" showErrorMessage="1" errorStyle="stop" errorTitle="Quantity" error="Enter a whole number of zero or more." allowBlank="1">
      <formula1>0</formula1>
      <formula2>10000</formula2>
    </dataValidation>
    <dataValidation type="whole" operator="between" sqref="C12" showErrorMessage="1" errorStyle="stop" errorTitle="Quantity" error="Enter a whole number of zero or more." allowBlank="1">
      <formula1>0</formula1>
      <formula2>10000</formula2>
    </dataValidation>
    <dataValidation type="whole" operator="between" sqref="C13" showErrorMessage="1" errorStyle="stop" errorTitle="Quantity" error="Enter a whole number of zero or more." allowBlank="1">
      <formula1>0</formula1>
      <formula2>10000</formula2>
    </dataValidation>
    <dataValidation type="whole" operator="between" sqref="C14" showErrorMessage="1" errorStyle="stop" errorTitle="Quantity" error="Enter a whole number of zero or more." allowBlank="1">
      <formula1>0</formula1>
      <formula2>10000</formula2>
    </dataValidation>
    <dataValidation type="whole" operator="between" sqref="C15" showErrorMessage="1" errorStyle="stop" errorTitle="Quantity" error="Enter a whole number of zero or more." allowBlank="1">
      <formula1>0</formula1>
      <formula2>10000</formula2>
    </dataValidation>
    <dataValidation type="whole" operator="between" sqref="C16" showErrorMessage="1" errorStyle="stop" errorTitle="Quantity" error="Enter a whole number of zero or more." allowBlank="1">
      <formula1>0</formula1>
      <formula2>10000</formula2>
    </dataValidation>
    <dataValidation type="whole" operator="between" sqref="C17" showErrorMessage="1" errorStyle="stop" errorTitle="Quantity" error="Enter a whole number of zero or more." allowBlank="1">
      <formula1>0</formula1>
      <formula2>10000</formula2>
    </dataValidation>
    <dataValidation type="whole" operator="between" sqref="C18" showErrorMessage="1" errorStyle="stop" errorTitle="Quantity" error="Enter a whole number of zero or more." allowBlank="1">
      <formula1>0</formula1>
      <formula2>10000</formula2>
    </dataValidation>
    <dataValidation type="whole" operator="between" sqref="C19" showErrorMessage="1" errorStyle="stop" errorTitle="Quantity" error="Enter a whole number of zero or more." allowBlank="1">
      <formula1>0</formula1>
      <formula2>10000</formula2>
    </dataValidation>
    <dataValidation type="whole" operator="between" sqref="C20" showErrorMessage="1" errorStyle="stop" errorTitle="Quantity" error="Enter a whole number of zero or more." allowBlank="1">
      <formula1>0</formula1>
      <formula2>10000</formula2>
    </dataValidation>
    <dataValidation type="whole" operator="between" sqref="C23" showErrorMessage="1" errorStyle="stop" errorTitle="Quantity" error="Enter a whole number of zero or more." allowBlank="1">
      <formula1>0</formula1>
      <formula2>10000</formula2>
    </dataValidation>
    <dataValidation type="whole" operator="between" sqref="C24" showErrorMessage="1" errorStyle="stop" errorTitle="Quantity" error="Enter a whole number of zero or more." allowBlank="1">
      <formula1>0</formula1>
      <formula2>10000</formula2>
    </dataValidation>
    <dataValidation type="whole" operator="between" sqref="C27" showErrorMessage="1" errorStyle="stop" errorTitle="Quantity" error="Enter a whole number of zero or more." allowBlank="1">
      <formula1>0</formula1>
      <formula2>10000</formula2>
    </dataValidation>
    <dataValidation type="whole" operator="between" sqref="C28" showErrorMessage="1" errorStyle="stop" errorTitle="Quantity" error="Enter a whole number of zero or more." allowBlank="1">
      <formula1>0</formula1>
      <formula2>10000</formula2>
    </dataValidation>
    <dataValidation type="whole" operator="between" sqref="C29" showErrorMessage="1" errorStyle="stop" errorTitle="Quantity" error="Enter a whole number of zero or more." allowBlank="1">
      <formula1>0</formula1>
      <formula2>10000</formula2>
    </dataValidation>
    <dataValidation type="whole" operator="between" sqref="C30" showErrorMessage="1" errorStyle="stop" errorTitle="Quantity" error="Enter a whole number of zero or more." allowBlank="1">
      <formula1>0</formula1>
      <formula2>10000</formula2>
    </dataValidation>
    <dataValidation type="whole" operator="between" sqref="C31" showErrorMessage="1" errorStyle="stop" errorTitle="Quantity" error="Enter a whole number of zero or more." allowBlank="1">
      <formula1>0</formula1>
      <formula2>10000</formula2>
    </dataValidation>
    <dataValidation type="whole" operator="between" sqref="C32" showErrorMessage="1" errorStyle="stop" errorTitle="Quantity" error="Enter a whole number of zero or more." allowBlank="1">
      <formula1>0</formula1>
      <formula2>10000</formula2>
    </dataValidation>
    <dataValidation type="whole" operator="between" sqref="C33" showErrorMessage="1" errorStyle="stop" errorTitle="Quantity" error="Enter a whole number of zero or more." allowBlank="1">
      <formula1>0</formula1>
      <formula2>10000</formula2>
    </dataValidation>
    <dataValidation type="whole" operator="between" sqref="C36" showErrorMessage="1" errorStyle="stop" errorTitle="Quantity" error="Enter a whole number of zero or more." allowBlank="1">
      <formula1>0</formula1>
      <formula2>10000</formula2>
    </dataValidation>
    <dataValidation type="whole" operator="between" sqref="C37" showErrorMessage="1" errorStyle="stop" errorTitle="Quantity" error="Enter a whole number of zero or more." allowBlank="1">
      <formula1>0</formula1>
      <formula2>10000</formula2>
    </dataValidation>
    <dataValidation type="whole" operator="between" sqref="C38" showErrorMessage="1" errorStyle="stop" errorTitle="Quantity" error="Enter a whole number of zero or more." allowBlank="1">
      <formula1>0</formula1>
      <formula2>10000</formula2>
    </dataValidation>
    <dataValidation type="whole" operator="between" sqref="C39" showErrorMessage="1" errorStyle="stop" errorTitle="Quantity" error="Enter a whole number of zero or more." allowBlank="1">
      <formula1>0</formula1>
      <formula2>10000</formula2>
    </dataValidation>
    <dataValidation type="whole" operator="between" sqref="C40" showErrorMessage="1" errorStyle="stop" errorTitle="Quantity" error="Enter a whole number of zero or more." allowBlank="1">
      <formula1>0</formula1>
      <formula2>10000</formula2>
    </dataValidation>
    <dataValidation type="whole" operator="between" sqref="C43" showErrorMessage="1" errorStyle="stop" errorTitle="Quantity" error="Enter a whole number of zero or more." allowBlank="1">
      <formula1>0</formula1>
      <formula2>10000</formula2>
    </dataValidation>
    <dataValidation type="whole" operator="between" sqref="C44" showErrorMessage="1" errorStyle="stop" errorTitle="Quantity" error="Enter a whole number of zero or more." allowBlank="1">
      <formula1>0</formula1>
      <formula2>10000</formula2>
    </dataValidation>
    <dataValidation type="whole" operator="between" sqref="C45" showErrorMessage="1" errorStyle="stop" errorTitle="Quantity" error="Enter a whole number of zero or more." allowBlank="1">
      <formula1>0</formula1>
      <formula2>10000</formula2>
    </dataValidation>
    <dataValidation type="whole" operator="between" sqref="C48" showErrorMessage="1" errorStyle="stop" errorTitle="Quantity" error="Enter a whole number of zero or more." allowBlank="1">
      <formula1>0</formula1>
      <formula2>10000</formula2>
    </dataValidation>
    <dataValidation type="whole" operator="between" sqref="C49" showErrorMessage="1" errorStyle="stop" errorTitle="Quantity" error="Enter a whole number of zero or more." allowBlank="1">
      <formula1>0</formula1>
      <formula2>10000</formula2>
    </dataValidation>
    <dataValidation type="whole" operator="between" sqref="C50" showErrorMessage="1" errorStyle="stop" errorTitle="Quantity" error="Enter a whole number of zero or more." allowBlank="1">
      <formula1>0</formula1>
      <formula2>10000</formula2>
    </dataValidation>
    <dataValidation type="whole" operator="between" sqref="C53" showErrorMessage="1" errorStyle="stop" errorTitle="Quantity" error="Enter a whole number of zero or more." allowBlank="1">
      <formula1>0</formula1>
      <formula2>10000</formula2>
    </dataValidation>
    <dataValidation type="whole" operator="between" sqref="C54" showErrorMessage="1" errorStyle="stop" errorTitle="Quantity" error="Enter a whole number of zero or more." allowBlank="1">
      <formula1>0</formula1>
      <formula2>10000</formula2>
    </dataValidation>
    <dataValidation type="whole" operator="between" sqref="C55" showErrorMessage="1" errorStyle="stop" errorTitle="Quantity" error="Enter a whole number of zero or more." allowBlank="1">
      <formula1>0</formula1>
      <formula2>10000</formula2>
    </dataValidation>
    <dataValidation type="whole" operator="between" sqref="C56" showErrorMessage="1" errorStyle="stop" errorTitle="Quantity" error="Enter a whole number of zero or more." allowBlank="1">
      <formula1>0</formula1>
      <formula2>10000</formula2>
    </dataValidation>
    <dataValidation type="whole" operator="between" sqref="C57" showErrorMessage="1" errorStyle="stop" errorTitle="Quantity" error="Enter a whole number of zero or more." allowBlank="1">
      <formula1>0</formula1>
      <formula2>10000</formula2>
    </dataValidation>
    <dataValidation type="whole" operator="between" sqref="C60" showErrorMessage="1" errorStyle="stop" errorTitle="Quantity" error="Enter a whole number of zero or more." allowBlank="1">
      <formula1>0</formula1>
      <formula2>10000</formula2>
    </dataValidation>
    <dataValidation type="whole" operator="between" sqref="C61" showErrorMessage="1" errorStyle="stop" errorTitle="Quantity" error="Enter a whole number of zero or more." allowBlank="1">
      <formula1>0</formula1>
      <formula2>10000</formula2>
    </dataValidation>
    <dataValidation type="whole" operator="between" sqref="C62" showErrorMessage="1" errorStyle="stop" errorTitle="Quantity" error="Enter a whole number of zero or more." allowBlank="1">
      <formula1>0</formula1>
      <formula2>10000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tabColor rgb="FF98713B"/>
  </sheetPr>
  <sheetViews>
    <sheetView showGridLines="0" workbookViewId="0">
      <pane ySplit="6" topLeftCell="A7" activePane="bottomLeft" state="frozen"/>
    </sheetView>
  </sheetViews>
  <sheetFormatPr defaultRowHeight="15"/>
  <cols>
    <col min="1" max="1" width="31" hidden="0" customWidth="1"/>
    <col min="2" max="2" width="10" hidden="0" customWidth="1"/>
    <col min="3" max="3" width="8" hidden="0" customWidth="1"/>
    <col min="4" max="4" width="12" hidden="0" customWidth="1"/>
  </cols>
  <sheetData>
    <row r="1" ht="28" customHeight="1">
      <c r="A1" s="2"/>
      <c r="B1" s="2"/>
      <c r="C1" s="2"/>
      <c r="D1" s="2"/>
    </row>
    <row r="2" ht="28" customHeight="1">
      <c r="A2" s="3" t="str">
        <v>MODESTO SILOS</v>
      </c>
      <c r="B2" s="2"/>
      <c r="C2" s="2"/>
      <c r="D2" s="2"/>
    </row>
    <row r="3" ht="28" customHeight="1">
      <c r="A3" s="2" t="str">
        <v>BAR</v>
      </c>
      <c r="B3" s="2"/>
      <c r="C3" s="2"/>
      <c r="D3" s="2"/>
    </row>
    <row r="4" ht="36" customHeight="1">
      <c r="A4" s="4" t="str">
        <v>Enter quantities in the yellow boxes.</v>
      </c>
      <c r="B4" s="4"/>
      <c r="C4" s="4"/>
      <c r="D4" s="4"/>
    </row>
    <row r="5" ht="28" customHeight="1">
      <c r="A5" s="2"/>
      <c r="B5" s="2"/>
      <c r="C5" s="2"/>
      <c r="D5" s="2"/>
    </row>
    <row r="6" ht="28" customHeight="1">
      <c r="A6" s="5" t="str">
        <v>Menu item</v>
      </c>
      <c r="B6" s="5" t="str">
        <v>Price</v>
      </c>
      <c r="C6" s="5" t="str">
        <v>Qty</v>
      </c>
      <c r="D6" s="5" t="str">
        <v>Total</v>
      </c>
    </row>
    <row r="7" ht="28" customHeight="1">
      <c r="A7" s="2"/>
      <c r="B7" s="2"/>
      <c r="C7" s="2"/>
      <c r="D7" s="2"/>
    </row>
    <row r="8" ht="28" customHeight="1">
      <c r="A8" s="7" t="str">
        <v>Signature Cocktails</v>
      </c>
      <c r="B8" s="7"/>
      <c r="C8" s="7"/>
      <c r="D8" s="7"/>
    </row>
    <row r="9" ht="40" customHeight="1">
      <c r="A9" s="8" t="str">
        <v>Mimosas</v>
      </c>
      <c r="B9" s="11" t="n">
        <v>10</v>
      </c>
      <c r="C9" s="19"/>
      <c r="D9" s="11" t="n">
        <f>IF(C9="",0,IF(OR(NOT(ISNUMBER(C9)),C9&lt;0,MOD(C9,1)&lt;&gt;0),"Check qty",ROUND(B9*C9,2)))</f>
        <v>0</v>
      </c>
    </row>
    <row r="10" ht="40" customHeight="1">
      <c r="A10" s="4" t="str">
        <v>Carlos Margarita</v>
      </c>
      <c r="B10" s="12" t="n">
        <v>14</v>
      </c>
      <c r="C10" s="19"/>
      <c r="D10" s="12" t="n">
        <f>IF(C10="",0,IF(OR(NOT(ISNUMBER(C10)),C10&lt;0,MOD(C10,1)&lt;&gt;0),"Check qty",ROUND(B10*C10,2)))</f>
        <v>0</v>
      </c>
    </row>
    <row r="11" ht="40" customHeight="1">
      <c r="A11" s="8" t="str">
        <v>Dragon Fruit Hugo Spritz</v>
      </c>
      <c r="B11" s="11" t="n">
        <v>16</v>
      </c>
      <c r="C11" s="19"/>
      <c r="D11" s="11" t="n">
        <f>IF(C11="",0,IF(OR(NOT(ISNUMBER(C11)),C11&lt;0,MOD(C11,1)&lt;&gt;0),"Check qty",ROUND(B11*C11,2)))</f>
        <v>0</v>
      </c>
    </row>
    <row r="12" ht="40" customHeight="1">
      <c r="A12" s="4" t="str">
        <v>Silos Hibiscus Old Fashioned</v>
      </c>
      <c r="B12" s="12" t="n">
        <v>16</v>
      </c>
      <c r="C12" s="19"/>
      <c r="D12" s="12" t="n">
        <f>IF(C12="",0,IF(OR(NOT(ISNUMBER(C12)),C12&lt;0,MOD(C12,1)&lt;&gt;0),"Check qty",ROUND(B12*C12,2)))</f>
        <v>0</v>
      </c>
    </row>
    <row r="13" ht="40" customHeight="1">
      <c r="A13" s="8" t="str">
        <v>Aaron's Mezcal Old Fashioned</v>
      </c>
      <c r="B13" s="11" t="n">
        <v>16</v>
      </c>
      <c r="C13" s="19"/>
      <c r="D13" s="11" t="n">
        <f>IF(C13="",0,IF(OR(NOT(ISNUMBER(C13)),C13&lt;0,MOD(C13,1)&lt;&gt;0),"Check qty",ROUND(B13*C13,2)))</f>
        <v>0</v>
      </c>
    </row>
    <row r="14" ht="40" customHeight="1">
      <c r="A14" s="4" t="str">
        <v>Modesto Berries Silos</v>
      </c>
      <c r="B14" s="12" t="n">
        <v>16</v>
      </c>
      <c r="C14" s="19"/>
      <c r="D14" s="12" t="n">
        <f>IF(C14="",0,IF(OR(NOT(ISNUMBER(C14)),C14&lt;0,MOD(C14,1)&lt;&gt;0),"Check qty",ROUND(B14*C14,2)))</f>
        <v>0</v>
      </c>
    </row>
    <row r="15" ht="40" customHeight="1">
      <c r="A15" s="8" t="str">
        <v>Nutella Martini</v>
      </c>
      <c r="B15" s="11" t="n">
        <v>17</v>
      </c>
      <c r="C15" s="19"/>
      <c r="D15" s="11" t="n">
        <f>IF(C15="",0,IF(OR(NOT(ISNUMBER(C15)),C15&lt;0,MOD(C15,1)&lt;&gt;0),"Check qty",ROUND(B15*C15,2)))</f>
        <v>0</v>
      </c>
    </row>
    <row r="16" ht="40" customHeight="1">
      <c r="A16" s="4" t="str">
        <v>Pistachio Espresso Martini</v>
      </c>
      <c r="B16" s="12" t="n">
        <v>17</v>
      </c>
      <c r="C16" s="19"/>
      <c r="D16" s="12" t="n">
        <f>IF(C16="",0,IF(OR(NOT(ISNUMBER(C16)),C16&lt;0,MOD(C16,1)&lt;&gt;0),"Check qty",ROUND(B16*C16,2)))</f>
        <v>0</v>
      </c>
    </row>
    <row r="17" ht="28" customHeight="1">
      <c r="A17" s="2"/>
      <c r="B17" s="2"/>
      <c r="C17" s="2"/>
      <c r="D17" s="2"/>
    </row>
    <row r="18" ht="28" customHeight="1">
      <c r="A18" s="7" t="str">
        <v>Beers on Tap</v>
      </c>
      <c r="B18" s="7"/>
      <c r="C18" s="7"/>
      <c r="D18" s="7"/>
    </row>
    <row r="19" ht="40" customHeight="1">
      <c r="A19" s="8" t="str">
        <v>Nectar of the Gods</v>
      </c>
      <c r="B19" s="11" t="n">
        <v>9</v>
      </c>
      <c r="C19" s="19"/>
      <c r="D19" s="11" t="n">
        <f>IF(C19="",0,IF(OR(NOT(ISNUMBER(C19)),C19&lt;0,MOD(C19,1)&lt;&gt;0),"Check qty",ROUND(B19*C19,2)))</f>
        <v>0</v>
      </c>
    </row>
    <row r="20" ht="40" customHeight="1">
      <c r="A20" s="4" t="str">
        <v>Silos Mexican Amber</v>
      </c>
      <c r="B20" s="12" t="n">
        <v>9</v>
      </c>
      <c r="C20" s="19"/>
      <c r="D20" s="12" t="n">
        <f>IF(C20="",0,IF(OR(NOT(ISNUMBER(C20)),C20&lt;0,MOD(C20,1)&lt;&gt;0),"Check qty",ROUND(B20*C20,2)))</f>
        <v>0</v>
      </c>
    </row>
    <row r="21" ht="40" customHeight="1">
      <c r="A21" s="8" t="str">
        <v>Blood Orange IPA</v>
      </c>
      <c r="B21" s="11" t="n">
        <v>9</v>
      </c>
      <c r="C21" s="19"/>
      <c r="D21" s="11" t="n">
        <f>IF(C21="",0,IF(OR(NOT(ISNUMBER(C21)),C21&lt;0,MOD(C21,1)&lt;&gt;0),"Check qty",ROUND(B21*C21,2)))</f>
        <v>0</v>
      </c>
    </row>
    <row r="22" ht="28" customHeight="1">
      <c r="A22" s="2"/>
      <c r="B22" s="2"/>
      <c r="C22" s="2"/>
      <c r="D22" s="2"/>
    </row>
    <row r="23" ht="28" customHeight="1">
      <c r="A23" s="7" t="str">
        <v>Bottled Beer</v>
      </c>
      <c r="B23" s="7"/>
      <c r="C23" s="7"/>
      <c r="D23" s="7"/>
    </row>
    <row r="24" ht="40" customHeight="1">
      <c r="A24" s="4" t="str">
        <v>Corona</v>
      </c>
      <c r="B24" s="12" t="n">
        <v>8</v>
      </c>
      <c r="C24" s="19"/>
      <c r="D24" s="12" t="n">
        <f>IF(C24="",0,IF(OR(NOT(ISNUMBER(C24)),C24&lt;0,MOD(C24,1)&lt;&gt;0),"Check qty",ROUND(B24*C24,2)))</f>
        <v>0</v>
      </c>
    </row>
    <row r="25" ht="40" customHeight="1">
      <c r="A25" s="8" t="str">
        <v>Blue Moon</v>
      </c>
      <c r="B25" s="11" t="n">
        <v>8</v>
      </c>
      <c r="C25" s="19"/>
      <c r="D25" s="11" t="n">
        <f>IF(C25="",0,IF(OR(NOT(ISNUMBER(C25)),C25&lt;0,MOD(C25,1)&lt;&gt;0),"Check qty",ROUND(B25*C25,2)))</f>
        <v>0</v>
      </c>
    </row>
    <row r="26" ht="40" customHeight="1">
      <c r="A26" s="4" t="str">
        <v>Pacifico</v>
      </c>
      <c r="B26" s="12" t="n">
        <v>8</v>
      </c>
      <c r="C26" s="19"/>
      <c r="D26" s="12" t="n">
        <f>IF(C26="",0,IF(OR(NOT(ISNUMBER(C26)),C26&lt;0,MOD(C26,1)&lt;&gt;0),"Check qty",ROUND(B26*C26,2)))</f>
        <v>0</v>
      </c>
    </row>
    <row r="27" ht="40" customHeight="1">
      <c r="A27" s="8" t="str">
        <v>Modelo Especial</v>
      </c>
      <c r="B27" s="11" t="n">
        <v>8</v>
      </c>
      <c r="C27" s="19"/>
      <c r="D27" s="11" t="n">
        <f>IF(C27="",0,IF(OR(NOT(ISNUMBER(C27)),C27&lt;0,MOD(C27,1)&lt;&gt;0),"Check qty",ROUND(B27*C27,2)))</f>
        <v>0</v>
      </c>
    </row>
    <row r="28" ht="40" customHeight="1">
      <c r="A28" s="4" t="str">
        <v>Michelob Ultra</v>
      </c>
      <c r="B28" s="12" t="n">
        <v>8</v>
      </c>
      <c r="C28" s="19"/>
      <c r="D28" s="12" t="n">
        <f>IF(C28="",0,IF(OR(NOT(ISNUMBER(C28)),C28&lt;0,MOD(C28,1)&lt;&gt;0),"Check qty",ROUND(B28*C28,2)))</f>
        <v>0</v>
      </c>
    </row>
    <row r="29" ht="28" customHeight="1">
      <c r="A29" s="2"/>
      <c r="B29" s="2"/>
      <c r="C29" s="2"/>
      <c r="D29" s="2"/>
    </row>
    <row r="30" ht="28" customHeight="1">
      <c r="A30" s="7" t="str">
        <v>Tequila - 1.5 oz pour</v>
      </c>
      <c r="B30" s="7"/>
      <c r="C30" s="7"/>
      <c r="D30" s="7"/>
    </row>
    <row r="31" ht="40" customHeight="1">
      <c r="A31" s="8" t="str">
        <v>Don Fulano Blanco</v>
      </c>
      <c r="B31" s="11" t="n">
        <v>14</v>
      </c>
      <c r="C31" s="19"/>
      <c r="D31" s="11" t="n">
        <f>IF(C31="",0,IF(OR(NOT(ISNUMBER(C31)),C31&lt;0,MOD(C31,1)&lt;&gt;0),"Check qty",ROUND(B31*C31,2)))</f>
        <v>0</v>
      </c>
    </row>
    <row r="32" ht="40" customHeight="1">
      <c r="A32" s="4" t="str">
        <v>Casamigos Blanco</v>
      </c>
      <c r="B32" s="12" t="n">
        <v>15</v>
      </c>
      <c r="C32" s="19"/>
      <c r="D32" s="12" t="n">
        <f>IF(C32="",0,IF(OR(NOT(ISNUMBER(C32)),C32&lt;0,MOD(C32,1)&lt;&gt;0),"Check qty",ROUND(B32*C32,2)))</f>
        <v>0</v>
      </c>
    </row>
    <row r="33" ht="40" customHeight="1">
      <c r="A33" s="8" t="str">
        <v>Tequila Ocho Blanco</v>
      </c>
      <c r="B33" s="11" t="n">
        <v>16</v>
      </c>
      <c r="C33" s="19"/>
      <c r="D33" s="11" t="n">
        <f>IF(C33="",0,IF(OR(NOT(ISNUMBER(C33)),C33&lt;0,MOD(C33,1)&lt;&gt;0),"Check qty",ROUND(B33*C33,2)))</f>
        <v>0</v>
      </c>
    </row>
    <row r="34" ht="40" customHeight="1">
      <c r="A34" s="4" t="str">
        <v>Patron Silver</v>
      </c>
      <c r="B34" s="12" t="n">
        <v>16</v>
      </c>
      <c r="C34" s="19"/>
      <c r="D34" s="12" t="n">
        <f>IF(C34="",0,IF(OR(NOT(ISNUMBER(C34)),C34&lt;0,MOD(C34,1)&lt;&gt;0),"Check qty",ROUND(B34*C34,2)))</f>
        <v>0</v>
      </c>
    </row>
    <row r="35" ht="40" customHeight="1">
      <c r="A35" s="8" t="str">
        <v>Fortaleza Blanco</v>
      </c>
      <c r="B35" s="11" t="n">
        <v>16</v>
      </c>
      <c r="C35" s="19"/>
      <c r="D35" s="11" t="n">
        <f>IF(C35="",0,IF(OR(NOT(ISNUMBER(C35)),C35&lt;0,MOD(C35,1)&lt;&gt;0),"Check qty",ROUND(B35*C35,2)))</f>
        <v>0</v>
      </c>
    </row>
    <row r="36" ht="40" customHeight="1">
      <c r="A36" s="4" t="str">
        <v>Don Fulano Reposado</v>
      </c>
      <c r="B36" s="12" t="n">
        <v>16</v>
      </c>
      <c r="C36" s="19"/>
      <c r="D36" s="12" t="n">
        <f>IF(C36="",0,IF(OR(NOT(ISNUMBER(C36)),C36&lt;0,MOD(C36,1)&lt;&gt;0),"Check qty",ROUND(B36*C36,2)))</f>
        <v>0</v>
      </c>
    </row>
    <row r="37" ht="40" customHeight="1">
      <c r="A37" s="8" t="str">
        <v>Casamigos Reposado</v>
      </c>
      <c r="B37" s="11" t="n">
        <v>18</v>
      </c>
      <c r="C37" s="19"/>
      <c r="D37" s="11" t="n">
        <f>IF(C37="",0,IF(OR(NOT(ISNUMBER(C37)),C37&lt;0,MOD(C37,1)&lt;&gt;0),"Check qty",ROUND(B37*C37,2)))</f>
        <v>0</v>
      </c>
    </row>
    <row r="38" ht="40" customHeight="1">
      <c r="A38" s="4" t="str">
        <v>Fortaleza Reposado</v>
      </c>
      <c r="B38" s="12" t="n">
        <v>18</v>
      </c>
      <c r="C38" s="19"/>
      <c r="D38" s="12" t="n">
        <f>IF(C38="",0,IF(OR(NOT(ISNUMBER(C38)),C38&lt;0,MOD(C38,1)&lt;&gt;0),"Check qty",ROUND(B38*C38,2)))</f>
        <v>0</v>
      </c>
    </row>
    <row r="39" ht="40" customHeight="1">
      <c r="A39" s="8" t="str">
        <v>Don Fulano Anejo</v>
      </c>
      <c r="B39" s="11" t="n">
        <v>20</v>
      </c>
      <c r="C39" s="19"/>
      <c r="D39" s="11" t="n">
        <f>IF(C39="",0,IF(OR(NOT(ISNUMBER(C39)),C39&lt;0,MOD(C39,1)&lt;&gt;0),"Check qty",ROUND(B39*C39,2)))</f>
        <v>0</v>
      </c>
    </row>
    <row r="40" ht="40" customHeight="1">
      <c r="A40" s="4" t="str">
        <v>Casa Dragones Blanco</v>
      </c>
      <c r="B40" s="12" t="n">
        <v>22</v>
      </c>
      <c r="C40" s="19"/>
      <c r="D40" s="12" t="n">
        <f>IF(C40="",0,IF(OR(NOT(ISNUMBER(C40)),C40&lt;0,MOD(C40,1)&lt;&gt;0),"Check qty",ROUND(B40*C40,2)))</f>
        <v>0</v>
      </c>
    </row>
    <row r="41" ht="40" customHeight="1">
      <c r="A41" s="8" t="str">
        <v>Don Julio 70</v>
      </c>
      <c r="B41" s="11" t="n">
        <v>24</v>
      </c>
      <c r="C41" s="19"/>
      <c r="D41" s="11" t="n">
        <f>IF(C41="",0,IF(OR(NOT(ISNUMBER(C41)),C41&lt;0,MOD(C41,1)&lt;&gt;0),"Check qty",ROUND(B41*C41,2)))</f>
        <v>0</v>
      </c>
    </row>
    <row r="42" ht="40" customHeight="1">
      <c r="A42" s="4" t="str">
        <v>Clase Azul Plata (Blanco)</v>
      </c>
      <c r="B42" s="12" t="n">
        <v>30</v>
      </c>
      <c r="C42" s="19"/>
      <c r="D42" s="12" t="n">
        <f>IF(C42="",0,IF(OR(NOT(ISNUMBER(C42)),C42&lt;0,MOD(C42,1)&lt;&gt;0),"Check qty",ROUND(B42*C42,2)))</f>
        <v>0</v>
      </c>
    </row>
    <row r="43" ht="40" customHeight="1">
      <c r="A43" s="8" t="str">
        <v>Don Julio 1942</v>
      </c>
      <c r="B43" s="11" t="n">
        <v>40</v>
      </c>
      <c r="C43" s="19"/>
      <c r="D43" s="11" t="n">
        <f>IF(C43="",0,IF(OR(NOT(ISNUMBER(C43)),C43&lt;0,MOD(C43,1)&lt;&gt;0),"Check qty",ROUND(B43*C43,2)))</f>
        <v>0</v>
      </c>
    </row>
    <row r="44" ht="40" customHeight="1">
      <c r="A44" s="4" t="str">
        <v>Clase Azul Reposado</v>
      </c>
      <c r="B44" s="12" t="n">
        <v>40</v>
      </c>
      <c r="C44" s="19"/>
      <c r="D44" s="12" t="n">
        <f>IF(C44="",0,IF(OR(NOT(ISNUMBER(C44)),C44&lt;0,MOD(C44,1)&lt;&gt;0),"Check qty",ROUND(B44*C44,2)))</f>
        <v>0</v>
      </c>
    </row>
    <row r="45" ht="28" customHeight="1">
      <c r="A45" s="2"/>
      <c r="B45" s="2"/>
      <c r="C45" s="2"/>
      <c r="D45" s="2"/>
    </row>
    <row r="46" ht="28" customHeight="1">
      <c r="A46" s="7" t="str">
        <v>Mezcal - 1.5 oz pour</v>
      </c>
      <c r="B46" s="7"/>
      <c r="C46" s="7"/>
      <c r="D46" s="7"/>
    </row>
    <row r="47" ht="40" customHeight="1">
      <c r="A47" s="8" t="str">
        <v>Del Maguey Vida</v>
      </c>
      <c r="B47" s="11" t="n">
        <v>12</v>
      </c>
      <c r="C47" s="19"/>
      <c r="D47" s="11" t="n">
        <f>IF(C47="",0,IF(OR(NOT(ISNUMBER(C47)),C47&lt;0,MOD(C47,1)&lt;&gt;0),"Check qty",ROUND(B47*C47,2)))</f>
        <v>0</v>
      </c>
    </row>
    <row r="48" ht="40" customHeight="1">
      <c r="A48" s="4" t="str">
        <v>Derrumbes Durango</v>
      </c>
      <c r="B48" s="12" t="n">
        <v>14</v>
      </c>
      <c r="C48" s="19"/>
      <c r="D48" s="12" t="n">
        <f>IF(C48="",0,IF(OR(NOT(ISNUMBER(C48)),C48&lt;0,MOD(C48,1)&lt;&gt;0),"Check qty",ROUND(B48*C48,2)))</f>
        <v>0</v>
      </c>
    </row>
    <row r="49" ht="40" customHeight="1">
      <c r="A49" s="8" t="str">
        <v>Clase Azul Durango</v>
      </c>
      <c r="B49" s="11" t="n">
        <v>85</v>
      </c>
      <c r="C49" s="19"/>
      <c r="D49" s="11" t="n">
        <f>IF(C49="",0,IF(OR(NOT(ISNUMBER(C49)),C49&lt;0,MOD(C49,1)&lt;&gt;0),"Check qty",ROUND(B49*C49,2)))</f>
        <v>0</v>
      </c>
    </row>
    <row r="50" ht="40" customHeight="1">
      <c r="A50" s="4" t="str">
        <v>Clase Azul Guerrero</v>
      </c>
      <c r="B50" s="12" t="n">
        <v>85</v>
      </c>
      <c r="C50" s="19"/>
      <c r="D50" s="12" t="n">
        <f>IF(C50="",0,IF(OR(NOT(ISNUMBER(C50)),C50&lt;0,MOD(C50,1)&lt;&gt;0),"Check qty",ROUND(B50*C50,2)))</f>
        <v>0</v>
      </c>
    </row>
    <row r="51" ht="28" customHeight="1">
      <c r="A51" s="2"/>
      <c r="B51" s="2"/>
      <c r="C51" s="2"/>
      <c r="D51" s="2"/>
    </row>
    <row r="52" ht="28" customHeight="1">
      <c r="A52" s="7" t="str">
        <v>Sparkling Wine</v>
      </c>
      <c r="B52" s="7"/>
      <c r="C52" s="7"/>
      <c r="D52" s="7"/>
    </row>
    <row r="53" ht="40" customHeight="1">
      <c r="A53" s="8" t="str">
        <v>Wycliff Brut - 5 oz glass</v>
      </c>
      <c r="B53" s="11" t="n">
        <v>9</v>
      </c>
      <c r="C53" s="19"/>
      <c r="D53" s="11" t="n">
        <f>IF(C53="",0,IF(OR(NOT(ISNUMBER(C53)),C53&lt;0,MOD(C53,1)&lt;&gt;0),"Check qty",ROUND(B53*C53,2)))</f>
        <v>0</v>
      </c>
    </row>
    <row r="54" ht="40" customHeight="1">
      <c r="A54" s="4" t="str">
        <v>Wycliff Brut - bottle</v>
      </c>
      <c r="B54" s="12" t="n">
        <v>30</v>
      </c>
      <c r="C54" s="19"/>
      <c r="D54" s="12" t="n">
        <f>IF(C54="",0,IF(OR(NOT(ISNUMBER(C54)),C54&lt;0,MOD(C54,1)&lt;&gt;0),"Check qty",ROUND(B54*C54,2)))</f>
        <v>0</v>
      </c>
    </row>
    <row r="55" ht="40" customHeight="1">
      <c r="A55" s="8" t="str">
        <v>La Marca Prosecco - 5 oz glass</v>
      </c>
      <c r="B55" s="11" t="n">
        <v>12</v>
      </c>
      <c r="C55" s="19"/>
      <c r="D55" s="11" t="n">
        <f>IF(C55="",0,IF(OR(NOT(ISNUMBER(C55)),C55&lt;0,MOD(C55,1)&lt;&gt;0),"Check qty",ROUND(B55*C55,2)))</f>
        <v>0</v>
      </c>
    </row>
    <row r="56" ht="40" customHeight="1">
      <c r="A56" s="4" t="str">
        <v>La Marca Prosecco - bottle</v>
      </c>
      <c r="B56" s="12" t="n">
        <v>40</v>
      </c>
      <c r="C56" s="19"/>
      <c r="D56" s="12" t="n">
        <f>IF(C56="",0,IF(OR(NOT(ISNUMBER(C56)),C56&lt;0,MOD(C56,1)&lt;&gt;0),"Check qty",ROUND(B56*C56,2)))</f>
        <v>0</v>
      </c>
    </row>
    <row r="57" ht="40" customHeight="1">
      <c r="A57" s="8" t="str">
        <v>J Vineyards Sparkling - 5 oz glass</v>
      </c>
      <c r="B57" s="11" t="n">
        <v>14</v>
      </c>
      <c r="C57" s="19"/>
      <c r="D57" s="11" t="n">
        <f>IF(C57="",0,IF(OR(NOT(ISNUMBER(C57)),C57&lt;0,MOD(C57,1)&lt;&gt;0),"Check qty",ROUND(B57*C57,2)))</f>
        <v>0</v>
      </c>
    </row>
    <row r="58" ht="40" customHeight="1">
      <c r="A58" s="4" t="str">
        <v>J Vineyards Sparkling - bottle</v>
      </c>
      <c r="B58" s="12" t="n">
        <v>55</v>
      </c>
      <c r="C58" s="19"/>
      <c r="D58" s="12" t="n">
        <f>IF(C58="",0,IF(OR(NOT(ISNUMBER(C58)),C58&lt;0,MOD(C58,1)&lt;&gt;0),"Check qty",ROUND(B58*C58,2)))</f>
        <v>0</v>
      </c>
    </row>
    <row r="59" ht="28" customHeight="1">
      <c r="A59" s="2"/>
      <c r="B59" s="2"/>
      <c r="C59" s="2"/>
      <c r="D59" s="2"/>
    </row>
    <row r="60" ht="28" customHeight="1">
      <c r="A60" s="7" t="str">
        <v>White Wine</v>
      </c>
      <c r="B60" s="7"/>
      <c r="C60" s="7"/>
      <c r="D60" s="7"/>
    </row>
    <row r="61" ht="40" customHeight="1">
      <c r="A61" s="8" t="str">
        <v>William Hill Chardonnay - 5 oz glass</v>
      </c>
      <c r="B61" s="11" t="n">
        <v>11</v>
      </c>
      <c r="C61" s="19"/>
      <c r="D61" s="11" t="n">
        <f>IF(C61="",0,IF(OR(NOT(ISNUMBER(C61)),C61&lt;0,MOD(C61,1)&lt;&gt;0),"Check qty",ROUND(B61*C61,2)))</f>
        <v>0</v>
      </c>
    </row>
    <row r="62" ht="40" customHeight="1">
      <c r="A62" s="4" t="str">
        <v>William Hill Chardonnay - bottle</v>
      </c>
      <c r="B62" s="12" t="n">
        <v>36</v>
      </c>
      <c r="C62" s="19"/>
      <c r="D62" s="12" t="n">
        <f>IF(C62="",0,IF(OR(NOT(ISNUMBER(C62)),C62&lt;0,MOD(C62,1)&lt;&gt;0),"Check qty",ROUND(B62*C62,2)))</f>
        <v>0</v>
      </c>
    </row>
    <row r="63" ht="40" customHeight="1">
      <c r="A63" s="8" t="str">
        <v>Whitehaven Sauvignon Blanc - 5 oz glass</v>
      </c>
      <c r="B63" s="11" t="n">
        <v>13</v>
      </c>
      <c r="C63" s="19"/>
      <c r="D63" s="11" t="n">
        <f>IF(C63="",0,IF(OR(NOT(ISNUMBER(C63)),C63&lt;0,MOD(C63,1)&lt;&gt;0),"Check qty",ROUND(B63*C63,2)))</f>
        <v>0</v>
      </c>
    </row>
    <row r="64" ht="40" customHeight="1">
      <c r="A64" s="4" t="str">
        <v>Whitehaven Sauvignon Blanc - bottle</v>
      </c>
      <c r="B64" s="12" t="n">
        <v>60</v>
      </c>
      <c r="C64" s="19"/>
      <c r="D64" s="12" t="n">
        <f>IF(C64="",0,IF(OR(NOT(ISNUMBER(C64)),C64&lt;0,MOD(C64,1)&lt;&gt;0),"Check qty",ROUND(B64*C64,2)))</f>
        <v>0</v>
      </c>
    </row>
    <row r="65" ht="28" customHeight="1">
      <c r="A65" s="2"/>
      <c r="B65" s="2"/>
      <c r="C65" s="2"/>
      <c r="D65" s="2"/>
    </row>
    <row r="66" ht="28" customHeight="1">
      <c r="A66" s="7" t="str">
        <v>Red Wine</v>
      </c>
      <c r="B66" s="7"/>
      <c r="C66" s="7"/>
      <c r="D66" s="7"/>
    </row>
    <row r="67" ht="40" customHeight="1">
      <c r="A67" s="8" t="str">
        <v>Louis Martini Prati Cabernet - 5 oz glass</v>
      </c>
      <c r="B67" s="11" t="n">
        <v>13</v>
      </c>
      <c r="C67" s="19"/>
      <c r="D67" s="11" t="n">
        <f>IF(C67="",0,IF(OR(NOT(ISNUMBER(C67)),C67&lt;0,MOD(C67,1)&lt;&gt;0),"Check qty",ROUND(B67*C67,2)))</f>
        <v>0</v>
      </c>
    </row>
    <row r="68" ht="40" customHeight="1">
      <c r="A68" s="4" t="str">
        <v>Louis Martini Prati Cabernet - bottle</v>
      </c>
      <c r="B68" s="12" t="n">
        <v>55</v>
      </c>
      <c r="C68" s="19"/>
      <c r="D68" s="12" t="n">
        <f>IF(C68="",0,IF(OR(NOT(ISNUMBER(C68)),C68&lt;0,MOD(C68,1)&lt;&gt;0),"Check qty",ROUND(B68*C68,2)))</f>
        <v>0</v>
      </c>
    </row>
    <row r="69" ht="40" customHeight="1">
      <c r="A69" s="8" t="str">
        <v>Secretos - 5 oz glass</v>
      </c>
      <c r="B69" s="11" t="n">
        <v>13</v>
      </c>
      <c r="C69" s="19"/>
      <c r="D69" s="11" t="n">
        <f>IF(C69="",0,IF(OR(NOT(ISNUMBER(C69)),C69&lt;0,MOD(C69,1)&lt;&gt;0),"Check qty",ROUND(B69*C69,2)))</f>
        <v>0</v>
      </c>
    </row>
    <row r="70" ht="40" customHeight="1">
      <c r="A70" s="4" t="str">
        <v>Secretos - bottle</v>
      </c>
      <c r="B70" s="12" t="n">
        <v>55</v>
      </c>
      <c r="C70" s="19"/>
      <c r="D70" s="12" t="n">
        <f>IF(C70="",0,IF(OR(NOT(ISNUMBER(C70)),C70&lt;0,MOD(C70,1)&lt;&gt;0),"Check qty",ROUND(B70*C70,2)))</f>
        <v>0</v>
      </c>
    </row>
    <row r="71" ht="40" customHeight="1">
      <c r="A71" s="8" t="str">
        <v>Naraghi 2019 - 5 oz glass</v>
      </c>
      <c r="B71" s="11" t="n">
        <v>15</v>
      </c>
      <c r="C71" s="19"/>
      <c r="D71" s="11" t="n">
        <f>IF(C71="",0,IF(OR(NOT(ISNUMBER(C71)),C71&lt;0,MOD(C71,1)&lt;&gt;0),"Check qty",ROUND(B71*C71,2)))</f>
        <v>0</v>
      </c>
    </row>
    <row r="72" ht="40" customHeight="1">
      <c r="A72" s="4" t="str">
        <v>Naraghi 2019 - bottle</v>
      </c>
      <c r="B72" s="12" t="n">
        <v>75</v>
      </c>
      <c r="C72" s="19"/>
      <c r="D72" s="12" t="n">
        <f>IF(C72="",0,IF(OR(NOT(ISNUMBER(C72)),C72&lt;0,MOD(C72,1)&lt;&gt;0),"Check qty",ROUND(B72*C72,2)))</f>
        <v>0</v>
      </c>
    </row>
    <row r="73" ht="40" customHeight="1">
      <c r="A73" s="8" t="str">
        <v>Frank Family Vineyards Cabernet - 5 oz glass</v>
      </c>
      <c r="B73" s="11" t="n">
        <v>20</v>
      </c>
      <c r="C73" s="19"/>
      <c r="D73" s="11" t="n">
        <f>IF(C73="",0,IF(OR(NOT(ISNUMBER(C73)),C73&lt;0,MOD(C73,1)&lt;&gt;0),"Check qty",ROUND(B73*C73,2)))</f>
        <v>0</v>
      </c>
    </row>
    <row r="74" ht="40" customHeight="1">
      <c r="A74" s="4" t="str">
        <v>Frank Family Vineyards Cabernet - bottle</v>
      </c>
      <c r="B74" s="12" t="n">
        <v>100</v>
      </c>
      <c r="C74" s="19"/>
      <c r="D74" s="12" t="n">
        <f>IF(C74="",0,IF(OR(NOT(ISNUMBER(C74)),C74&lt;0,MOD(C74,1)&lt;&gt;0),"Check qty",ROUND(B74*C74,2)))</f>
        <v>0</v>
      </c>
    </row>
    <row r="75" ht="40" customHeight="1">
      <c r="A75" s="8" t="str">
        <v>Orin Swift Bloodlines - 5 oz glass</v>
      </c>
      <c r="B75" s="11" t="n">
        <v>25</v>
      </c>
      <c r="C75" s="19"/>
      <c r="D75" s="11" t="n">
        <f>IF(C75="",0,IF(OR(NOT(ISNUMBER(C75)),C75&lt;0,MOD(C75,1)&lt;&gt;0),"Check qty",ROUND(B75*C75,2)))</f>
        <v>0</v>
      </c>
    </row>
    <row r="76" ht="40" customHeight="1">
      <c r="A76" s="4" t="str">
        <v>Orin Swift Bloodlines - bottle</v>
      </c>
      <c r="B76" s="12" t="n">
        <v>125</v>
      </c>
      <c r="C76" s="19"/>
      <c r="D76" s="12" t="n">
        <f>IF(C76="",0,IF(OR(NOT(ISNUMBER(C76)),C76&lt;0,MOD(C76,1)&lt;&gt;0),"Check qty",ROUND(B76*C76,2)))</f>
        <v>0</v>
      </c>
    </row>
    <row r="77" ht="40" customHeight="1">
      <c r="A77" s="8" t="str">
        <v>Orin Swift 8 Years in the Desert - bottle</v>
      </c>
      <c r="B77" s="11" t="n">
        <v>145</v>
      </c>
      <c r="C77" s="19"/>
      <c r="D77" s="11" t="n">
        <f>IF(C77="",0,IF(OR(NOT(ISNUMBER(C77)),C77&lt;0,MOD(C77,1)&lt;&gt;0),"Check qty",ROUND(B77*C77,2)))</f>
        <v>0</v>
      </c>
    </row>
    <row r="78" ht="40" customHeight="1">
      <c r="A78" s="4" t="str">
        <v>Orin Swift Advice From John - bottle</v>
      </c>
      <c r="B78" s="12" t="n">
        <v>145</v>
      </c>
      <c r="C78" s="19"/>
      <c r="D78" s="12" t="n">
        <f>IF(C78="",0,IF(OR(NOT(ISNUMBER(C78)),C78&lt;0,MOD(C78,1)&lt;&gt;0),"Check qty",ROUND(B78*C78,2)))</f>
        <v>0</v>
      </c>
    </row>
    <row r="79" ht="40" customHeight="1">
      <c r="A79" s="8" t="str">
        <v>Silver Oak Cabernet - bottle</v>
      </c>
      <c r="B79" s="11" t="n">
        <v>200</v>
      </c>
      <c r="C79" s="19"/>
      <c r="D79" s="11" t="n">
        <f>IF(C79="",0,IF(OR(NOT(ISNUMBER(C79)),C79&lt;0,MOD(C79,1)&lt;&gt;0),"Check qty",ROUND(B79*C79,2)))</f>
        <v>0</v>
      </c>
    </row>
    <row r="80" ht="28" customHeight="1">
      <c r="A80" s="2"/>
      <c r="B80" s="2"/>
      <c r="C80" s="2"/>
      <c r="D80" s="2"/>
    </row>
    <row r="81" ht="28" customHeight="1">
      <c r="A81" s="7" t="str">
        <v>SUBTOTAL</v>
      </c>
      <c r="B81" s="7"/>
      <c r="C81" s="7"/>
      <c r="D81" s="7"/>
    </row>
    <row r="82" ht="28" customHeight="1">
      <c r="A82" s="2"/>
      <c r="B82" s="2"/>
      <c r="C82" s="2"/>
      <c r="D82" s="13" t="n">
        <f>IF(COUNTIFS(D8:D80,"Check qty")&gt;0,"Check qty",SUM(D8:D80))</f>
        <v>0</v>
      </c>
    </row>
    <row r="83" ht="28" customHeight="1">
      <c r="A83" s="2"/>
      <c r="B83" s="2"/>
      <c r="C83" s="2"/>
      <c r="D83" s="2"/>
    </row>
    <row r="84" ht="36" customHeight="1">
      <c r="A84" s="4" t="str">
        <v>See Your Estimate for the combined total + gratuity.</v>
      </c>
      <c r="B84" s="4"/>
      <c r="C84" s="4"/>
      <c r="D84" s="4"/>
    </row>
    <row r="85" ht="28" customHeight="1">
      <c r="A85" s="2"/>
      <c r="B85" s="2"/>
      <c r="C85" s="2"/>
      <c r="D85" s="2"/>
    </row>
    <row r="86" ht="38" customHeight="1">
      <c r="A86" s="4" t="str">
        <v>Premium spirits by the bottle: ask our team for a quote.</v>
      </c>
      <c r="B86" s="4"/>
      <c r="C86" s="4"/>
      <c r="D86" s="4"/>
    </row>
    <row r="87" ht="28" customHeight="1">
      <c r="A87" s="2"/>
      <c r="B87" s="2"/>
      <c r="C87" s="2"/>
      <c r="D87" s="2"/>
    </row>
    <row r="88" ht="28" customHeight="1">
      <c r="A88" s="14" t="str">
        <v>Source: event menu Rev 3, October 16, 2026.</v>
      </c>
      <c r="B88" s="14"/>
      <c r="C88" s="14"/>
      <c r="D88" s="14"/>
    </row>
    <row r="89" ht="28" customHeight="1">
      <c r="A89" s="2"/>
      <c r="B89" s="2"/>
      <c r="C89" s="2"/>
      <c r="D89" s="2"/>
    </row>
    <row r="90" ht="28" customHeight="1">
      <c r="A90" s="2"/>
      <c r="B90" s="2"/>
      <c r="C90" s="2"/>
      <c r="D90" s="2"/>
    </row>
    <row r="91" ht="28" customHeight="1">
      <c r="A91" s="2"/>
      <c r="B91" s="2"/>
      <c r="C91" s="2"/>
      <c r="D91" s="2"/>
    </row>
    <row r="92" ht="28" customHeight="1">
      <c r="A92" s="2"/>
      <c r="B92" s="2"/>
      <c r="C92" s="2"/>
      <c r="D92" s="2"/>
    </row>
    <row r="93" ht="28" customHeight="1">
      <c r="A93" s="2"/>
      <c r="B93" s="2"/>
      <c r="C93" s="2"/>
      <c r="D93" s="2"/>
    </row>
    <row r="94" ht="28" customHeight="1">
      <c r="A94" s="2"/>
      <c r="B94" s="2"/>
      <c r="C94" s="2"/>
      <c r="D94" s="2"/>
    </row>
    <row r="95" ht="28" customHeight="1">
      <c r="A95" s="2"/>
      <c r="B95" s="2"/>
      <c r="C95" s="2"/>
      <c r="D95" s="2"/>
    </row>
    <row r="96" ht="28" customHeight="1">
      <c r="A96" s="2"/>
      <c r="B96" s="2"/>
      <c r="C96" s="2"/>
      <c r="D96" s="2"/>
    </row>
    <row r="97" ht="28" customHeight="1">
      <c r="A97" s="2"/>
      <c r="B97" s="2"/>
      <c r="C97" s="2"/>
      <c r="D97" s="2"/>
    </row>
    <row r="98" ht="28" customHeight="1">
      <c r="A98" s="2"/>
      <c r="B98" s="2"/>
      <c r="C98" s="2"/>
      <c r="D98" s="2"/>
    </row>
    <row r="99" ht="28" customHeight="1">
      <c r="A99" s="2"/>
      <c r="B99" s="2"/>
      <c r="C99" s="2"/>
      <c r="D99" s="2"/>
    </row>
    <row r="100" ht="28" customHeight="1">
      <c r="A100" s="2"/>
      <c r="B100" s="2"/>
      <c r="C100" s="2"/>
      <c r="D100" s="2"/>
    </row>
    <row r="101" ht="28" customHeight="1">
      <c r="A101" s="2"/>
      <c r="B101" s="2"/>
      <c r="C101" s="2"/>
      <c r="D101" s="2"/>
    </row>
    <row r="102" ht="28" customHeight="1">
      <c r="A102" s="2"/>
      <c r="B102" s="2"/>
      <c r="C102" s="2"/>
      <c r="D102" s="2"/>
    </row>
    <row r="103" ht="28" customHeight="1">
      <c r="A103" s="2"/>
      <c r="B103" s="2"/>
      <c r="C103" s="2"/>
      <c r="D103" s="2"/>
    </row>
    <row r="104" ht="28" customHeight="1">
      <c r="A104" s="2"/>
      <c r="B104" s="2"/>
      <c r="C104" s="2"/>
      <c r="D104" s="2"/>
    </row>
    <row r="105" ht="28" customHeight="1">
      <c r="A105" s="2"/>
      <c r="B105" s="2"/>
      <c r="C105" s="2"/>
      <c r="D105" s="2"/>
    </row>
    <row r="106" ht="28" customHeight="1">
      <c r="A106" s="2"/>
      <c r="B106" s="2"/>
      <c r="C106" s="2"/>
      <c r="D106" s="2"/>
    </row>
    <row r="107" ht="28" customHeight="1">
      <c r="A107" s="2"/>
      <c r="B107" s="2"/>
      <c r="C107" s="2"/>
      <c r="D107" s="2"/>
    </row>
    <row r="108" ht="28" customHeight="1">
      <c r="A108" s="2"/>
      <c r="B108" s="2"/>
      <c r="C108" s="2"/>
      <c r="D108" s="2"/>
    </row>
    <row r="109" ht="28" customHeight="1">
      <c r="A109" s="2"/>
      <c r="B109" s="2"/>
      <c r="C109" s="2"/>
      <c r="D109" s="2"/>
    </row>
    <row r="110" ht="28" customHeight="1">
      <c r="A110" s="2"/>
      <c r="B110" s="2"/>
      <c r="C110" s="2"/>
      <c r="D110" s="2"/>
    </row>
    <row r="111" ht="28" customHeight="1">
      <c r="A111" s="2"/>
      <c r="B111" s="2"/>
      <c r="C111" s="2"/>
      <c r="D111" s="2"/>
    </row>
    <row r="112" ht="28" customHeight="1">
      <c r="A112" s="2"/>
      <c r="B112" s="2"/>
      <c r="C112" s="2"/>
      <c r="D112" s="2"/>
    </row>
    <row r="113" ht="28" customHeight="1">
      <c r="A113" s="2"/>
      <c r="B113" s="2"/>
      <c r="C113" s="2"/>
      <c r="D113" s="2"/>
    </row>
    <row r="114" ht="28" customHeight="1">
      <c r="A114" s="2"/>
      <c r="B114" s="2"/>
      <c r="C114" s="2"/>
      <c r="D114" s="2"/>
    </row>
    <row r="115" ht="28" customHeight="1">
      <c r="A115" s="2"/>
      <c r="B115" s="2"/>
      <c r="C115" s="2"/>
      <c r="D115" s="2"/>
    </row>
    <row r="116" ht="28" customHeight="1">
      <c r="A116" s="2"/>
      <c r="B116" s="2"/>
      <c r="C116" s="2"/>
      <c r="D116" s="2"/>
    </row>
    <row r="117" ht="28" customHeight="1">
      <c r="A117" s="2"/>
      <c r="B117" s="2"/>
      <c r="C117" s="2"/>
      <c r="D117" s="2"/>
    </row>
    <row r="118" ht="28" customHeight="1">
      <c r="A118" s="2"/>
      <c r="B118" s="2"/>
      <c r="C118" s="2"/>
      <c r="D118" s="2"/>
    </row>
    <row r="119" ht="28" customHeight="1">
      <c r="A119" s="2"/>
      <c r="B119" s="2"/>
      <c r="C119" s="2"/>
      <c r="D119" s="2"/>
    </row>
    <row r="120" ht="28" customHeight="1">
      <c r="A120" s="2"/>
      <c r="B120" s="2"/>
      <c r="C120" s="2"/>
      <c r="D120" s="2"/>
    </row>
    <row r="121" ht="28" customHeight="1">
      <c r="A121" s="2"/>
      <c r="B121" s="2"/>
      <c r="C121" s="2"/>
      <c r="D121" s="2"/>
    </row>
    <row r="122" ht="28" customHeight="1">
      <c r="A122" s="2"/>
      <c r="B122" s="2"/>
      <c r="C122" s="2"/>
      <c r="D122" s="2"/>
    </row>
    <row r="123" ht="28" customHeight="1">
      <c r="A123" s="2"/>
      <c r="B123" s="2"/>
      <c r="C123" s="2"/>
      <c r="D123" s="2"/>
    </row>
    <row r="124" ht="28" customHeight="1">
      <c r="A124" s="2"/>
      <c r="B124" s="2"/>
      <c r="C124" s="2"/>
      <c r="D124" s="2"/>
    </row>
    <row r="125" ht="28" customHeight="1">
      <c r="A125" s="2"/>
      <c r="B125" s="2"/>
      <c r="C125" s="2"/>
      <c r="D125" s="2"/>
    </row>
    <row r="126" ht="28" customHeight="1">
      <c r="A126" s="2"/>
      <c r="B126" s="2"/>
      <c r="C126" s="2"/>
      <c r="D126" s="2"/>
    </row>
    <row r="127" ht="28" customHeight="1">
      <c r="A127" s="2"/>
      <c r="B127" s="2"/>
      <c r="C127" s="2"/>
      <c r="D127" s="2"/>
    </row>
    <row r="128" ht="28" customHeight="1">
      <c r="A128" s="2"/>
      <c r="B128" s="2"/>
      <c r="C128" s="2"/>
      <c r="D128" s="2"/>
    </row>
    <row r="129" ht="28" customHeight="1">
      <c r="A129" s="2"/>
      <c r="B129" s="2"/>
      <c r="C129" s="2"/>
      <c r="D129" s="2"/>
    </row>
    <row r="130" ht="28" customHeight="1">
      <c r="A130" s="2"/>
      <c r="B130" s="2"/>
      <c r="C130" s="2"/>
      <c r="D130" s="2"/>
    </row>
    <row r="131" ht="28" customHeight="1">
      <c r="A131" s="2"/>
      <c r="B131" s="2"/>
      <c r="C131" s="2"/>
      <c r="D131" s="2"/>
    </row>
    <row r="132" ht="28" customHeight="1">
      <c r="A132" s="2"/>
      <c r="B132" s="2"/>
      <c r="C132" s="2"/>
      <c r="D132" s="2"/>
    </row>
    <row r="133" ht="28" customHeight="1">
      <c r="A133" s="2"/>
      <c r="B133" s="2"/>
      <c r="C133" s="2"/>
      <c r="D133" s="2"/>
    </row>
    <row r="134" ht="28" customHeight="1">
      <c r="A134" s="2"/>
      <c r="B134" s="2"/>
      <c r="C134" s="2"/>
      <c r="D134" s="2"/>
    </row>
    <row r="135" ht="28" customHeight="1">
      <c r="A135" s="2"/>
      <c r="B135" s="2"/>
      <c r="C135" s="2"/>
      <c r="D135" s="2"/>
    </row>
    <row r="136" ht="28" customHeight="1">
      <c r="A136" s="2"/>
      <c r="B136" s="2"/>
      <c r="C136" s="2"/>
      <c r="D136" s="2"/>
    </row>
    <row r="137" ht="28" customHeight="1">
      <c r="A137" s="2"/>
      <c r="B137" s="2"/>
      <c r="C137" s="2"/>
      <c r="D137" s="2"/>
    </row>
    <row r="138" ht="28" customHeight="1">
      <c r="A138" s="2"/>
      <c r="B138" s="2"/>
      <c r="C138" s="2"/>
      <c r="D138" s="2"/>
    </row>
    <row r="139" ht="28" customHeight="1">
      <c r="A139" s="2"/>
      <c r="B139" s="2"/>
      <c r="C139" s="2"/>
      <c r="D139" s="2"/>
    </row>
    <row r="140" ht="28" customHeight="1">
      <c r="A140" s="2"/>
      <c r="B140" s="2"/>
      <c r="C140" s="2"/>
      <c r="D140" s="2"/>
    </row>
    <row r="141" ht="28" customHeight="1">
      <c r="A141" s="2"/>
      <c r="B141" s="2"/>
      <c r="C141" s="2"/>
      <c r="D141" s="2"/>
    </row>
    <row r="142" ht="28" customHeight="1">
      <c r="A142" s="2"/>
      <c r="B142" s="2"/>
      <c r="C142" s="2"/>
      <c r="D142" s="2"/>
    </row>
    <row r="143" ht="28" customHeight="1">
      <c r="A143" s="2"/>
      <c r="B143" s="2"/>
      <c r="C143" s="2"/>
      <c r="D143" s="2"/>
    </row>
    <row r="144" ht="28" customHeight="1">
      <c r="A144" s="2"/>
      <c r="B144" s="2"/>
      <c r="C144" s="2"/>
      <c r="D144" s="2"/>
    </row>
    <row r="145" ht="28" customHeight="1">
      <c r="A145" s="2"/>
      <c r="B145" s="2"/>
      <c r="C145" s="2"/>
      <c r="D145" s="2"/>
    </row>
    <row r="146" ht="28" customHeight="1">
      <c r="A146" s="2"/>
      <c r="B146" s="2"/>
      <c r="C146" s="2"/>
      <c r="D146" s="2"/>
    </row>
    <row r="147" ht="28" customHeight="1">
      <c r="A147" s="2"/>
      <c r="B147" s="2"/>
      <c r="C147" s="2"/>
      <c r="D147" s="2"/>
    </row>
    <row r="148" ht="28" customHeight="1">
      <c r="A148" s="2"/>
      <c r="B148" s="2"/>
      <c r="C148" s="2"/>
      <c r="D148" s="2"/>
    </row>
    <row r="149" ht="28" customHeight="1">
      <c r="A149" s="2"/>
      <c r="B149" s="2"/>
      <c r="C149" s="2"/>
      <c r="D149" s="2"/>
    </row>
    <row r="150" ht="28" customHeight="1">
      <c r="A150" s="2"/>
      <c r="B150" s="2"/>
      <c r="C150" s="2"/>
      <c r="D150" s="2"/>
    </row>
    <row r="151" ht="28" customHeight="1">
      <c r="A151" s="2"/>
      <c r="B151" s="2"/>
      <c r="C151" s="2"/>
      <c r="D151" s="2"/>
    </row>
    <row r="152" ht="28" customHeight="1">
      <c r="A152" s="2"/>
      <c r="B152" s="2"/>
      <c r="C152" s="2"/>
      <c r="D152" s="2"/>
    </row>
    <row r="153" ht="28" customHeight="1">
      <c r="A153" s="2"/>
      <c r="B153" s="2"/>
      <c r="C153" s="2"/>
      <c r="D153" s="2"/>
    </row>
    <row r="154" ht="28" customHeight="1">
      <c r="A154" s="2"/>
      <c r="B154" s="2"/>
      <c r="C154" s="2"/>
      <c r="D154" s="2"/>
    </row>
    <row r="155" ht="28" customHeight="1">
      <c r="A155" s="2"/>
      <c r="B155" s="2"/>
      <c r="C155" s="2"/>
      <c r="D155" s="2"/>
    </row>
    <row r="156" ht="28" customHeight="1">
      <c r="A156" s="2"/>
      <c r="B156" s="2"/>
      <c r="C156" s="2"/>
      <c r="D156" s="2"/>
    </row>
    <row r="157" ht="28" customHeight="1">
      <c r="A157" s="2"/>
      <c r="B157" s="2"/>
      <c r="C157" s="2"/>
      <c r="D157" s="2"/>
    </row>
    <row r="158" ht="28" customHeight="1">
      <c r="A158" s="2"/>
      <c r="B158" s="2"/>
      <c r="C158" s="2"/>
      <c r="D158" s="2"/>
    </row>
    <row r="159" ht="28" customHeight="1">
      <c r="A159" s="2"/>
      <c r="B159" s="2"/>
      <c r="C159" s="2"/>
      <c r="D159" s="2"/>
    </row>
    <row r="160" ht="28" customHeight="1">
      <c r="A160" s="2"/>
      <c r="B160" s="2"/>
      <c r="C160" s="2"/>
      <c r="D160" s="2"/>
    </row>
    <row r="161" ht="28" customHeight="1">
      <c r="A161" s="2"/>
      <c r="B161" s="2"/>
      <c r="C161" s="2"/>
      <c r="D161" s="2"/>
    </row>
    <row r="162" ht="28" customHeight="1">
      <c r="A162" s="2"/>
      <c r="B162" s="2"/>
      <c r="C162" s="2"/>
      <c r="D162" s="2"/>
    </row>
    <row r="163" ht="28" customHeight="1">
      <c r="A163" s="2"/>
      <c r="B163" s="2"/>
      <c r="C163" s="2"/>
      <c r="D163" s="2"/>
    </row>
    <row r="164" ht="28" customHeight="1">
      <c r="A164" s="2"/>
      <c r="B164" s="2"/>
      <c r="C164" s="2"/>
      <c r="D164" s="2"/>
    </row>
    <row r="165" ht="28" customHeight="1">
      <c r="A165" s="2"/>
      <c r="B165" s="2"/>
      <c r="C165" s="2"/>
      <c r="D165" s="2"/>
    </row>
    <row r="166" ht="28" customHeight="1">
      <c r="A166" s="2"/>
      <c r="B166" s="2"/>
      <c r="C166" s="2"/>
      <c r="D166" s="2"/>
    </row>
    <row r="167" ht="28" customHeight="1">
      <c r="A167" s="2"/>
      <c r="B167" s="2"/>
      <c r="C167" s="2"/>
      <c r="D167" s="2"/>
    </row>
    <row r="168" ht="28" customHeight="1">
      <c r="A168" s="2"/>
      <c r="B168" s="2"/>
      <c r="C168" s="2"/>
      <c r="D168" s="2"/>
    </row>
    <row r="169" ht="28" customHeight="1">
      <c r="A169" s="2"/>
      <c r="B169" s="2"/>
      <c r="C169" s="2"/>
      <c r="D169" s="2"/>
    </row>
    <row r="170" ht="28" customHeight="1">
      <c r="A170" s="2"/>
      <c r="B170" s="2"/>
      <c r="C170" s="2"/>
      <c r="D170" s="2"/>
    </row>
  </sheetData>
  <sheetProtection sheet="1" objects="1" scenarios="1" selectLockedCells="0" selectUnlockedCells="0"/>
  <mergeCells>
    <mergeCell ref="A2:D2"/>
    <mergeCell ref="A3:D3"/>
    <mergeCell ref="A4:D4"/>
    <mergeCell ref="A8:D8"/>
    <mergeCell ref="A18:D18"/>
    <mergeCell ref="A23:D23"/>
    <mergeCell ref="A30:D30"/>
    <mergeCell ref="A46:D46"/>
    <mergeCell ref="A52:D52"/>
    <mergeCell ref="A60:D60"/>
    <mergeCell ref="A66:D66"/>
    <mergeCell ref="A81:D81"/>
    <mergeCell ref="A84:D84"/>
    <mergeCell ref="A86:D86"/>
    <mergeCell ref="A88:D88"/>
  </mergeCells>
  <dataValidations count="57">
    <dataValidation type="whole" operator="between" sqref="C9" showErrorMessage="1" errorStyle="stop" errorTitle="Quantity" error="Enter a whole number of zero or more." allowBlank="1">
      <formula1>0</formula1>
      <formula2>10000</formula2>
    </dataValidation>
    <dataValidation type="whole" operator="between" sqref="C10" showErrorMessage="1" errorStyle="stop" errorTitle="Quantity" error="Enter a whole number of zero or more." allowBlank="1">
      <formula1>0</formula1>
      <formula2>10000</formula2>
    </dataValidation>
    <dataValidation type="whole" operator="between" sqref="C11" showErrorMessage="1" errorStyle="stop" errorTitle="Quantity" error="Enter a whole number of zero or more." allowBlank="1">
      <formula1>0</formula1>
      <formula2>10000</formula2>
    </dataValidation>
    <dataValidation type="whole" operator="between" sqref="C12" showErrorMessage="1" errorStyle="stop" errorTitle="Quantity" error="Enter a whole number of zero or more." allowBlank="1">
      <formula1>0</formula1>
      <formula2>10000</formula2>
    </dataValidation>
    <dataValidation type="whole" operator="between" sqref="C13" showErrorMessage="1" errorStyle="stop" errorTitle="Quantity" error="Enter a whole number of zero or more." allowBlank="1">
      <formula1>0</formula1>
      <formula2>10000</formula2>
    </dataValidation>
    <dataValidation type="whole" operator="between" sqref="C14" showErrorMessage="1" errorStyle="stop" errorTitle="Quantity" error="Enter a whole number of zero or more." allowBlank="1">
      <formula1>0</formula1>
      <formula2>10000</formula2>
    </dataValidation>
    <dataValidation type="whole" operator="between" sqref="C15" showErrorMessage="1" errorStyle="stop" errorTitle="Quantity" error="Enter a whole number of zero or more." allowBlank="1">
      <formula1>0</formula1>
      <formula2>10000</formula2>
    </dataValidation>
    <dataValidation type="whole" operator="between" sqref="C16" showErrorMessage="1" errorStyle="stop" errorTitle="Quantity" error="Enter a whole number of zero or more." allowBlank="1">
      <formula1>0</formula1>
      <formula2>10000</formula2>
    </dataValidation>
    <dataValidation type="whole" operator="between" sqref="C19" showErrorMessage="1" errorStyle="stop" errorTitle="Quantity" error="Enter a whole number of zero or more." allowBlank="1">
      <formula1>0</formula1>
      <formula2>10000</formula2>
    </dataValidation>
    <dataValidation type="whole" operator="between" sqref="C20" showErrorMessage="1" errorStyle="stop" errorTitle="Quantity" error="Enter a whole number of zero or more." allowBlank="1">
      <formula1>0</formula1>
      <formula2>10000</formula2>
    </dataValidation>
    <dataValidation type="whole" operator="between" sqref="C21" showErrorMessage="1" errorStyle="stop" errorTitle="Quantity" error="Enter a whole number of zero or more." allowBlank="1">
      <formula1>0</formula1>
      <formula2>10000</formula2>
    </dataValidation>
    <dataValidation type="whole" operator="between" sqref="C24" showErrorMessage="1" errorStyle="stop" errorTitle="Quantity" error="Enter a whole number of zero or more." allowBlank="1">
      <formula1>0</formula1>
      <formula2>10000</formula2>
    </dataValidation>
    <dataValidation type="whole" operator="between" sqref="C25" showErrorMessage="1" errorStyle="stop" errorTitle="Quantity" error="Enter a whole number of zero or more." allowBlank="1">
      <formula1>0</formula1>
      <formula2>10000</formula2>
    </dataValidation>
    <dataValidation type="whole" operator="between" sqref="C26" showErrorMessage="1" errorStyle="stop" errorTitle="Quantity" error="Enter a whole number of zero or more." allowBlank="1">
      <formula1>0</formula1>
      <formula2>10000</formula2>
    </dataValidation>
    <dataValidation type="whole" operator="between" sqref="C27" showErrorMessage="1" errorStyle="stop" errorTitle="Quantity" error="Enter a whole number of zero or more." allowBlank="1">
      <formula1>0</formula1>
      <formula2>10000</formula2>
    </dataValidation>
    <dataValidation type="whole" operator="between" sqref="C28" showErrorMessage="1" errorStyle="stop" errorTitle="Quantity" error="Enter a whole number of zero or more." allowBlank="1">
      <formula1>0</formula1>
      <formula2>10000</formula2>
    </dataValidation>
    <dataValidation type="whole" operator="between" sqref="C31" showErrorMessage="1" errorStyle="stop" errorTitle="Quantity" error="Enter a whole number of zero or more." allowBlank="1">
      <formula1>0</formula1>
      <formula2>10000</formula2>
    </dataValidation>
    <dataValidation type="whole" operator="between" sqref="C32" showErrorMessage="1" errorStyle="stop" errorTitle="Quantity" error="Enter a whole number of zero or more." allowBlank="1">
      <formula1>0</formula1>
      <formula2>10000</formula2>
    </dataValidation>
    <dataValidation type="whole" operator="between" sqref="C33" showErrorMessage="1" errorStyle="stop" errorTitle="Quantity" error="Enter a whole number of zero or more." allowBlank="1">
      <formula1>0</formula1>
      <formula2>10000</formula2>
    </dataValidation>
    <dataValidation type="whole" operator="between" sqref="C34" showErrorMessage="1" errorStyle="stop" errorTitle="Quantity" error="Enter a whole number of zero or more." allowBlank="1">
      <formula1>0</formula1>
      <formula2>10000</formula2>
    </dataValidation>
    <dataValidation type="whole" operator="between" sqref="C35" showErrorMessage="1" errorStyle="stop" errorTitle="Quantity" error="Enter a whole number of zero or more." allowBlank="1">
      <formula1>0</formula1>
      <formula2>10000</formula2>
    </dataValidation>
    <dataValidation type="whole" operator="between" sqref="C36" showErrorMessage="1" errorStyle="stop" errorTitle="Quantity" error="Enter a whole number of zero or more." allowBlank="1">
      <formula1>0</formula1>
      <formula2>10000</formula2>
    </dataValidation>
    <dataValidation type="whole" operator="between" sqref="C37" showErrorMessage="1" errorStyle="stop" errorTitle="Quantity" error="Enter a whole number of zero or more." allowBlank="1">
      <formula1>0</formula1>
      <formula2>10000</formula2>
    </dataValidation>
    <dataValidation type="whole" operator="between" sqref="C38" showErrorMessage="1" errorStyle="stop" errorTitle="Quantity" error="Enter a whole number of zero or more." allowBlank="1">
      <formula1>0</formula1>
      <formula2>10000</formula2>
    </dataValidation>
    <dataValidation type="whole" operator="between" sqref="C39" showErrorMessage="1" errorStyle="stop" errorTitle="Quantity" error="Enter a whole number of zero or more." allowBlank="1">
      <formula1>0</formula1>
      <formula2>10000</formula2>
    </dataValidation>
    <dataValidation type="whole" operator="between" sqref="C40" showErrorMessage="1" errorStyle="stop" errorTitle="Quantity" error="Enter a whole number of zero or more." allowBlank="1">
      <formula1>0</formula1>
      <formula2>10000</formula2>
    </dataValidation>
    <dataValidation type="whole" operator="between" sqref="C41" showErrorMessage="1" errorStyle="stop" errorTitle="Quantity" error="Enter a whole number of zero or more." allowBlank="1">
      <formula1>0</formula1>
      <formula2>10000</formula2>
    </dataValidation>
    <dataValidation type="whole" operator="between" sqref="C42" showErrorMessage="1" errorStyle="stop" errorTitle="Quantity" error="Enter a whole number of zero or more." allowBlank="1">
      <formula1>0</formula1>
      <formula2>10000</formula2>
    </dataValidation>
    <dataValidation type="whole" operator="between" sqref="C43" showErrorMessage="1" errorStyle="stop" errorTitle="Quantity" error="Enter a whole number of zero or more." allowBlank="1">
      <formula1>0</formula1>
      <formula2>10000</formula2>
    </dataValidation>
    <dataValidation type="whole" operator="between" sqref="C44" showErrorMessage="1" errorStyle="stop" errorTitle="Quantity" error="Enter a whole number of zero or more." allowBlank="1">
      <formula1>0</formula1>
      <formula2>10000</formula2>
    </dataValidation>
    <dataValidation type="whole" operator="between" sqref="C47" showErrorMessage="1" errorStyle="stop" errorTitle="Quantity" error="Enter a whole number of zero or more." allowBlank="1">
      <formula1>0</formula1>
      <formula2>10000</formula2>
    </dataValidation>
    <dataValidation type="whole" operator="between" sqref="C48" showErrorMessage="1" errorStyle="stop" errorTitle="Quantity" error="Enter a whole number of zero or more." allowBlank="1">
      <formula1>0</formula1>
      <formula2>10000</formula2>
    </dataValidation>
    <dataValidation type="whole" operator="between" sqref="C49" showErrorMessage="1" errorStyle="stop" errorTitle="Quantity" error="Enter a whole number of zero or more." allowBlank="1">
      <formula1>0</formula1>
      <formula2>10000</formula2>
    </dataValidation>
    <dataValidation type="whole" operator="between" sqref="C50" showErrorMessage="1" errorStyle="stop" errorTitle="Quantity" error="Enter a whole number of zero or more." allowBlank="1">
      <formula1>0</formula1>
      <formula2>10000</formula2>
    </dataValidation>
    <dataValidation type="whole" operator="between" sqref="C53" showErrorMessage="1" errorStyle="stop" errorTitle="Quantity" error="Enter a whole number of zero or more." allowBlank="1">
      <formula1>0</formula1>
      <formula2>10000</formula2>
    </dataValidation>
    <dataValidation type="whole" operator="between" sqref="C54" showErrorMessage="1" errorStyle="stop" errorTitle="Quantity" error="Enter a whole number of zero or more." allowBlank="1">
      <formula1>0</formula1>
      <formula2>10000</formula2>
    </dataValidation>
    <dataValidation type="whole" operator="between" sqref="C55" showErrorMessage="1" errorStyle="stop" errorTitle="Quantity" error="Enter a whole number of zero or more." allowBlank="1">
      <formula1>0</formula1>
      <formula2>10000</formula2>
    </dataValidation>
    <dataValidation type="whole" operator="between" sqref="C56" showErrorMessage="1" errorStyle="stop" errorTitle="Quantity" error="Enter a whole number of zero or more." allowBlank="1">
      <formula1>0</formula1>
      <formula2>10000</formula2>
    </dataValidation>
    <dataValidation type="whole" operator="between" sqref="C57" showErrorMessage="1" errorStyle="stop" errorTitle="Quantity" error="Enter a whole number of zero or more." allowBlank="1">
      <formula1>0</formula1>
      <formula2>10000</formula2>
    </dataValidation>
    <dataValidation type="whole" operator="between" sqref="C58" showErrorMessage="1" errorStyle="stop" errorTitle="Quantity" error="Enter a whole number of zero or more." allowBlank="1">
      <formula1>0</formula1>
      <formula2>10000</formula2>
    </dataValidation>
    <dataValidation type="whole" operator="between" sqref="C61" showErrorMessage="1" errorStyle="stop" errorTitle="Quantity" error="Enter a whole number of zero or more." allowBlank="1">
      <formula1>0</formula1>
      <formula2>10000</formula2>
    </dataValidation>
    <dataValidation type="whole" operator="between" sqref="C62" showErrorMessage="1" errorStyle="stop" errorTitle="Quantity" error="Enter a whole number of zero or more." allowBlank="1">
      <formula1>0</formula1>
      <formula2>10000</formula2>
    </dataValidation>
    <dataValidation type="whole" operator="between" sqref="C63" showErrorMessage="1" errorStyle="stop" errorTitle="Quantity" error="Enter a whole number of zero or more." allowBlank="1">
      <formula1>0</formula1>
      <formula2>10000</formula2>
    </dataValidation>
    <dataValidation type="whole" operator="between" sqref="C64" showErrorMessage="1" errorStyle="stop" errorTitle="Quantity" error="Enter a whole number of zero or more." allowBlank="1">
      <formula1>0</formula1>
      <formula2>10000</formula2>
    </dataValidation>
    <dataValidation type="whole" operator="between" sqref="C67" showErrorMessage="1" errorStyle="stop" errorTitle="Quantity" error="Enter a whole number of zero or more." allowBlank="1">
      <formula1>0</formula1>
      <formula2>10000</formula2>
    </dataValidation>
    <dataValidation type="whole" operator="between" sqref="C68" showErrorMessage="1" errorStyle="stop" errorTitle="Quantity" error="Enter a whole number of zero or more." allowBlank="1">
      <formula1>0</formula1>
      <formula2>10000</formula2>
    </dataValidation>
    <dataValidation type="whole" operator="between" sqref="C69" showErrorMessage="1" errorStyle="stop" errorTitle="Quantity" error="Enter a whole number of zero or more." allowBlank="1">
      <formula1>0</formula1>
      <formula2>10000</formula2>
    </dataValidation>
    <dataValidation type="whole" operator="between" sqref="C70" showErrorMessage="1" errorStyle="stop" errorTitle="Quantity" error="Enter a whole number of zero or more." allowBlank="1">
      <formula1>0</formula1>
      <formula2>10000</formula2>
    </dataValidation>
    <dataValidation type="whole" operator="between" sqref="C71" showErrorMessage="1" errorStyle="stop" errorTitle="Quantity" error="Enter a whole number of zero or more." allowBlank="1">
      <formula1>0</formula1>
      <formula2>10000</formula2>
    </dataValidation>
    <dataValidation type="whole" operator="between" sqref="C72" showErrorMessage="1" errorStyle="stop" errorTitle="Quantity" error="Enter a whole number of zero or more." allowBlank="1">
      <formula1>0</formula1>
      <formula2>10000</formula2>
    </dataValidation>
    <dataValidation type="whole" operator="between" sqref="C73" showErrorMessage="1" errorStyle="stop" errorTitle="Quantity" error="Enter a whole number of zero or more." allowBlank="1">
      <formula1>0</formula1>
      <formula2>10000</formula2>
    </dataValidation>
    <dataValidation type="whole" operator="between" sqref="C74" showErrorMessage="1" errorStyle="stop" errorTitle="Quantity" error="Enter a whole number of zero or more." allowBlank="1">
      <formula1>0</formula1>
      <formula2>10000</formula2>
    </dataValidation>
    <dataValidation type="whole" operator="between" sqref="C75" showErrorMessage="1" errorStyle="stop" errorTitle="Quantity" error="Enter a whole number of zero or more." allowBlank="1">
      <formula1>0</formula1>
      <formula2>10000</formula2>
    </dataValidation>
    <dataValidation type="whole" operator="between" sqref="C76" showErrorMessage="1" errorStyle="stop" errorTitle="Quantity" error="Enter a whole number of zero or more." allowBlank="1">
      <formula1>0</formula1>
      <formula2>10000</formula2>
    </dataValidation>
    <dataValidation type="whole" operator="between" sqref="C77" showErrorMessage="1" errorStyle="stop" errorTitle="Quantity" error="Enter a whole number of zero or more." allowBlank="1">
      <formula1>0</formula1>
      <formula2>10000</formula2>
    </dataValidation>
    <dataValidation type="whole" operator="between" sqref="C78" showErrorMessage="1" errorStyle="stop" errorTitle="Quantity" error="Enter a whole number of zero or more." allowBlank="1">
      <formula1>0</formula1>
      <formula2>10000</formula2>
    </dataValidation>
    <dataValidation type="whole" operator="between" sqref="C79" showErrorMessage="1" errorStyle="stop" errorTitle="Quantity" error="Enter a whole number of zero or more." allowBlank="1">
      <formula1>0</formula1>
      <formula2>10000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tabColor rgb="FF98713B"/>
  </sheetPr>
  <sheetViews>
    <sheetView showGridLines="0" workbookViewId="0">
      <pane ySplit="6" topLeftCell="A7" activePane="bottomLeft" state="frozen"/>
    </sheetView>
  </sheetViews>
  <sheetFormatPr defaultRowHeight="15"/>
  <cols>
    <col min="1" max="1" width="31" hidden="0" customWidth="1"/>
    <col min="2" max="2" width="10" hidden="0" customWidth="1"/>
    <col min="3" max="3" width="8" hidden="0" customWidth="1"/>
    <col min="4" max="4" width="12" hidden="0" customWidth="1"/>
  </cols>
  <sheetData>
    <row r="1" ht="28" customHeight="1">
      <c r="A1" s="2"/>
      <c r="B1" s="2"/>
      <c r="C1" s="2"/>
      <c r="D1" s="2"/>
    </row>
    <row r="2" ht="28" customHeight="1">
      <c r="A2" s="3" t="str">
        <v>MODESTO SILOS</v>
      </c>
      <c r="B2" s="2"/>
      <c r="C2" s="2"/>
      <c r="D2" s="2"/>
    </row>
    <row r="3" ht="28" customHeight="1">
      <c r="A3" s="2" t="str">
        <v>CAFECITO</v>
      </c>
      <c r="B3" s="2"/>
      <c r="C3" s="2"/>
      <c r="D3" s="2"/>
    </row>
    <row r="4" ht="36" customHeight="1">
      <c r="A4" s="4" t="str">
        <v>Enter quantities in the yellow boxes.</v>
      </c>
      <c r="B4" s="4"/>
      <c r="C4" s="4"/>
      <c r="D4" s="4"/>
    </row>
    <row r="5" ht="28" customHeight="1">
      <c r="A5" s="2"/>
      <c r="B5" s="2"/>
      <c r="C5" s="2"/>
      <c r="D5" s="2"/>
    </row>
    <row r="6" ht="28" customHeight="1">
      <c r="A6" s="5" t="str">
        <v>Menu item</v>
      </c>
      <c r="B6" s="5" t="str">
        <v>Price</v>
      </c>
      <c r="C6" s="5" t="str">
        <v>Qty</v>
      </c>
      <c r="D6" s="5" t="str">
        <v>Total</v>
      </c>
    </row>
    <row r="7" ht="28" customHeight="1">
      <c r="A7" s="2"/>
      <c r="B7" s="2"/>
      <c r="C7" s="2"/>
      <c r="D7" s="2"/>
    </row>
    <row r="8" ht="28" customHeight="1">
      <c r="A8" s="7" t="str">
        <v>Hot Drinks</v>
      </c>
      <c r="B8" s="7"/>
      <c r="C8" s="7"/>
      <c r="D8" s="7"/>
    </row>
    <row r="9" ht="40" customHeight="1">
      <c r="A9" s="8" t="str">
        <v>Americano</v>
      </c>
      <c r="B9" s="11" t="n">
        <v>4</v>
      </c>
      <c r="C9" s="19"/>
      <c r="D9" s="11" t="n">
        <f>IF(C9="",0,IF(OR(NOT(ISNUMBER(C9)),C9&lt;0,MOD(C9,1)&lt;&gt;0),"Check qty",ROUND(B9*C9,2)))</f>
        <v>0</v>
      </c>
    </row>
    <row r="10" ht="40" customHeight="1">
      <c r="A10" s="4" t="str">
        <v>Cappuccino</v>
      </c>
      <c r="B10" s="12" t="n">
        <v>6</v>
      </c>
      <c r="C10" s="19"/>
      <c r="D10" s="12" t="n">
        <f>IF(C10="",0,IF(OR(NOT(ISNUMBER(C10)),C10&lt;0,MOD(C10,1)&lt;&gt;0),"Check qty",ROUND(B10*C10,2)))</f>
        <v>0</v>
      </c>
    </row>
    <row r="11" ht="40" customHeight="1">
      <c r="A11" s="8" t="str">
        <v>Caramel Macchiato</v>
      </c>
      <c r="B11" s="11" t="n">
        <v>6.5</v>
      </c>
      <c r="C11" s="19"/>
      <c r="D11" s="11" t="n">
        <f>IF(C11="",0,IF(OR(NOT(ISNUMBER(C11)),C11&lt;0,MOD(C11,1)&lt;&gt;0),"Check qty",ROUND(B11*C11,2)))</f>
        <v>0</v>
      </c>
    </row>
    <row r="12" ht="40" customHeight="1">
      <c r="A12" s="4" t="str">
        <v>Cortado</v>
      </c>
      <c r="B12" s="12" t="n">
        <v>4.5</v>
      </c>
      <c r="C12" s="19"/>
      <c r="D12" s="12" t="n">
        <f>IF(C12="",0,IF(OR(NOT(ISNUMBER(C12)),C12&lt;0,MOD(C12,1)&lt;&gt;0),"Check qty",ROUND(B12*C12,2)))</f>
        <v>0</v>
      </c>
    </row>
    <row r="13" ht="40" customHeight="1">
      <c r="A13" s="8" t="str">
        <v>Decaf Coffee</v>
      </c>
      <c r="B13" s="11" t="n">
        <v>3.99</v>
      </c>
      <c r="C13" s="19"/>
      <c r="D13" s="11" t="n">
        <f>IF(C13="",0,IF(OR(NOT(ISNUMBER(C13)),C13&lt;0,MOD(C13,1)&lt;&gt;0),"Check qty",ROUND(B13*C13,2)))</f>
        <v>0</v>
      </c>
    </row>
    <row r="14" ht="40" customHeight="1">
      <c r="A14" s="4" t="str">
        <v>Dirty Chai Latte</v>
      </c>
      <c r="B14" s="12" t="n">
        <v>6.5</v>
      </c>
      <c r="C14" s="19"/>
      <c r="D14" s="12" t="n">
        <f>IF(C14="",0,IF(OR(NOT(ISNUMBER(C14)),C14&lt;0,MOD(C14,1)&lt;&gt;0),"Check qty",ROUND(B14*C14,2)))</f>
        <v>0</v>
      </c>
    </row>
    <row r="15" ht="40" customHeight="1">
      <c r="A15" s="8" t="str">
        <v>Espresso Double</v>
      </c>
      <c r="B15" s="11" t="n">
        <v>2</v>
      </c>
      <c r="C15" s="19"/>
      <c r="D15" s="11" t="n">
        <f>IF(C15="",0,IF(OR(NOT(ISNUMBER(C15)),C15&lt;0,MOD(C15,1)&lt;&gt;0),"Check qty",ROUND(B15*C15,2)))</f>
        <v>0</v>
      </c>
    </row>
    <row r="16" ht="40" customHeight="1">
      <c r="A16" s="4" t="str">
        <v>Latte</v>
      </c>
      <c r="B16" s="12" t="n">
        <v>6</v>
      </c>
      <c r="C16" s="19"/>
      <c r="D16" s="12" t="n">
        <f>IF(C16="",0,IF(OR(NOT(ISNUMBER(C16)),C16&lt;0,MOD(C16,1)&lt;&gt;0),"Check qty",ROUND(B16*C16,2)))</f>
        <v>0</v>
      </c>
    </row>
    <row r="17" ht="40" customHeight="1">
      <c r="A17" s="8" t="str">
        <v>Macchiato</v>
      </c>
      <c r="B17" s="11" t="n">
        <v>5</v>
      </c>
      <c r="C17" s="19"/>
      <c r="D17" s="11" t="n">
        <f>IF(C17="",0,IF(OR(NOT(ISNUMBER(C17)),C17&lt;0,MOD(C17,1)&lt;&gt;0),"Check qty",ROUND(B17*C17,2)))</f>
        <v>0</v>
      </c>
    </row>
    <row r="18" ht="40" customHeight="1">
      <c r="A18" s="4" t="str">
        <v>Mi Abuelita Hot Chocolate</v>
      </c>
      <c r="B18" s="12" t="n">
        <v>5</v>
      </c>
      <c r="C18" s="19"/>
      <c r="D18" s="12" t="n">
        <f>IF(C18="",0,IF(OR(NOT(ISNUMBER(C18)),C18&lt;0,MOD(C18,1)&lt;&gt;0),"Check qty",ROUND(B18*C18,2)))</f>
        <v>0</v>
      </c>
    </row>
    <row r="19" ht="40" customHeight="1">
      <c r="A19" s="8" t="str">
        <v>Mi Abuelita Mocha</v>
      </c>
      <c r="B19" s="11" t="n">
        <v>7</v>
      </c>
      <c r="C19" s="19"/>
      <c r="D19" s="11" t="n">
        <f>IF(C19="",0,IF(OR(NOT(ISNUMBER(C19)),C19&lt;0,MOD(C19,1)&lt;&gt;0),"Check qty",ROUND(B19*C19,2)))</f>
        <v>0</v>
      </c>
    </row>
    <row r="20" ht="40" customHeight="1">
      <c r="A20" s="4" t="str">
        <v>Regular Coffee</v>
      </c>
      <c r="B20" s="12" t="n">
        <v>3.99</v>
      </c>
      <c r="C20" s="19"/>
      <c r="D20" s="12" t="n">
        <f>IF(C20="",0,IF(OR(NOT(ISNUMBER(C20)),C20&lt;0,MOD(C20,1)&lt;&gt;0),"Check qty",ROUND(B20*C20,2)))</f>
        <v>0</v>
      </c>
    </row>
    <row r="21" ht="28" customHeight="1">
      <c r="A21" s="2"/>
      <c r="B21" s="2"/>
      <c r="C21" s="2"/>
      <c r="D21" s="2"/>
    </row>
    <row r="22" ht="28" customHeight="1">
      <c r="A22" s="7" t="str">
        <v>Tea</v>
      </c>
      <c r="B22" s="7"/>
      <c r="C22" s="7"/>
      <c r="D22" s="7"/>
    </row>
    <row r="23" ht="40" customHeight="1">
      <c r="A23" s="8" t="str">
        <v>Chamomile</v>
      </c>
      <c r="B23" s="11" t="n">
        <v>4.5</v>
      </c>
      <c r="C23" s="19"/>
      <c r="D23" s="11" t="n">
        <f>IF(C23="",0,IF(OR(NOT(ISNUMBER(C23)),C23&lt;0,MOD(C23,1)&lt;&gt;0),"Check qty",ROUND(B23*C23,2)))</f>
        <v>0</v>
      </c>
    </row>
    <row r="24" ht="40" customHeight="1">
      <c r="A24" s="4" t="str">
        <v>Earl Grey</v>
      </c>
      <c r="B24" s="12" t="n">
        <v>4.5</v>
      </c>
      <c r="C24" s="19"/>
      <c r="D24" s="12" t="n">
        <f>IF(C24="",0,IF(OR(NOT(ISNUMBER(C24)),C24&lt;0,MOD(C24,1)&lt;&gt;0),"Check qty",ROUND(B24*C24,2)))</f>
        <v>0</v>
      </c>
    </row>
    <row r="25" ht="40" customHeight="1">
      <c r="A25" s="8" t="str">
        <v>Berry Berry</v>
      </c>
      <c r="B25" s="11" t="n">
        <v>4.5</v>
      </c>
      <c r="C25" s="19"/>
      <c r="D25" s="11" t="n">
        <f>IF(C25="",0,IF(OR(NOT(ISNUMBER(C25)),C25&lt;0,MOD(C25,1)&lt;&gt;0),"Check qty",ROUND(B25*C25,2)))</f>
        <v>0</v>
      </c>
    </row>
    <row r="26" ht="40" customHeight="1">
      <c r="A26" s="4" t="str">
        <v>Turmeric Ginger</v>
      </c>
      <c r="B26" s="12" t="n">
        <v>4.5</v>
      </c>
      <c r="C26" s="19"/>
      <c r="D26" s="12" t="n">
        <f>IF(C26="",0,IF(OR(NOT(ISNUMBER(C26)),C26&lt;0,MOD(C26,1)&lt;&gt;0),"Check qty",ROUND(B26*C26,2)))</f>
        <v>0</v>
      </c>
    </row>
    <row r="27" ht="40" customHeight="1">
      <c r="A27" s="8" t="str">
        <v>Green Tea</v>
      </c>
      <c r="B27" s="11" t="n">
        <v>4.5</v>
      </c>
      <c r="C27" s="19"/>
      <c r="D27" s="11" t="n">
        <f>IF(C27="",0,IF(OR(NOT(ISNUMBER(C27)),C27&lt;0,MOD(C27,1)&lt;&gt;0),"Check qty",ROUND(B27*C27,2)))</f>
        <v>0</v>
      </c>
    </row>
    <row r="28" ht="40" customHeight="1">
      <c r="A28" s="4" t="str">
        <v>Rose Green Tea</v>
      </c>
      <c r="B28" s="12" t="n">
        <v>4.5</v>
      </c>
      <c r="C28" s="19"/>
      <c r="D28" s="12" t="n">
        <f>IF(C28="",0,IF(OR(NOT(ISNUMBER(C28)),C28&lt;0,MOD(C28,1)&lt;&gt;0),"Check qty",ROUND(B28*C28,2)))</f>
        <v>0</v>
      </c>
    </row>
    <row r="29" ht="28" customHeight="1">
      <c r="A29" s="2"/>
      <c r="B29" s="2"/>
      <c r="C29" s="2"/>
      <c r="D29" s="2"/>
    </row>
    <row r="30" ht="28" customHeight="1">
      <c r="A30" s="7" t="str">
        <v>Iced &amp; Signature Drinks</v>
      </c>
      <c r="B30" s="7"/>
      <c r="C30" s="7"/>
      <c r="D30" s="7"/>
    </row>
    <row r="31" ht="40" customHeight="1">
      <c r="A31" s="8" t="str">
        <v>Brown Sugar Latte</v>
      </c>
      <c r="B31" s="11" t="n">
        <v>6.5</v>
      </c>
      <c r="C31" s="19"/>
      <c r="D31" s="11" t="n">
        <f>IF(C31="",0,IF(OR(NOT(ISNUMBER(C31)),C31&lt;0,MOD(C31,1)&lt;&gt;0),"Check qty",ROUND(B31*C31,2)))</f>
        <v>0</v>
      </c>
    </row>
    <row r="32" ht="40" customHeight="1">
      <c r="A32" s="4" t="str">
        <v>Cold Brew</v>
      </c>
      <c r="B32" s="12" t="n">
        <v>4</v>
      </c>
      <c r="C32" s="19"/>
      <c r="D32" s="12" t="n">
        <f>IF(C32="",0,IF(OR(NOT(ISNUMBER(C32)),C32&lt;0,MOD(C32,1)&lt;&gt;0),"Check qty",ROUND(B32*C32,2)))</f>
        <v>0</v>
      </c>
    </row>
    <row r="33" ht="40" customHeight="1">
      <c r="A33" s="8" t="str">
        <v>Matcha</v>
      </c>
      <c r="B33" s="11" t="n">
        <v>6</v>
      </c>
      <c r="C33" s="19"/>
      <c r="D33" s="11" t="n">
        <f>IF(C33="",0,IF(OR(NOT(ISNUMBER(C33)),C33&lt;0,MOD(C33,1)&lt;&gt;0),"Check qty",ROUND(B33*C33,2)))</f>
        <v>0</v>
      </c>
    </row>
    <row r="34" ht="40" customHeight="1">
      <c r="A34" s="4" t="str">
        <v>Mi Amorcito Latte</v>
      </c>
      <c r="B34" s="12" t="n">
        <v>7</v>
      </c>
      <c r="C34" s="19"/>
      <c r="D34" s="12" t="n">
        <f>IF(C34="",0,IF(OR(NOT(ISNUMBER(C34)),C34&lt;0,MOD(C34,1)&lt;&gt;0),"Check qty",ROUND(B34*C34,2)))</f>
        <v>0</v>
      </c>
    </row>
    <row r="35" ht="40" customHeight="1">
      <c r="A35" s="8" t="str">
        <v>Strawberry Abuelita Mocha</v>
      </c>
      <c r="B35" s="11" t="n">
        <v>7.5</v>
      </c>
      <c r="C35" s="19"/>
      <c r="D35" s="11" t="n">
        <f>IF(C35="",0,IF(OR(NOT(ISNUMBER(C35)),C35&lt;0,MOD(C35,1)&lt;&gt;0),"Check qty",ROUND(B35*C35,2)))</f>
        <v>0</v>
      </c>
    </row>
    <row r="36" ht="40" customHeight="1">
      <c r="A36" s="4" t="str">
        <v>Besito Latte</v>
      </c>
      <c r="B36" s="12" t="n">
        <v>7</v>
      </c>
      <c r="C36" s="19"/>
      <c r="D36" s="12" t="n">
        <f>IF(C36="",0,IF(OR(NOT(ISNUMBER(C36)),C36&lt;0,MOD(C36,1)&lt;&gt;0),"Check qty",ROUND(B36*C36,2)))</f>
        <v>0</v>
      </c>
    </row>
    <row r="37" ht="40" customHeight="1">
      <c r="A37" s="8" t="str">
        <v>Caramel Mazapan Matcha Latte</v>
      </c>
      <c r="B37" s="11" t="n">
        <v>7</v>
      </c>
      <c r="C37" s="19"/>
      <c r="D37" s="11" t="n">
        <f>IF(C37="",0,IF(OR(NOT(ISNUMBER(C37)),C37&lt;0,MOD(C37,1)&lt;&gt;0),"Check qty",ROUND(B37*C37,2)))</f>
        <v>0</v>
      </c>
    </row>
    <row r="38" ht="40" customHeight="1">
      <c r="A38" s="4" t="str">
        <v>Cloud Sweet Melody Berry</v>
      </c>
      <c r="B38" s="12" t="n">
        <v>6.5</v>
      </c>
      <c r="C38" s="19"/>
      <c r="D38" s="12" t="n">
        <f>IF(C38="",0,IF(OR(NOT(ISNUMBER(C38)),C38&lt;0,MOD(C38,1)&lt;&gt;0),"Check qty",ROUND(B38*C38,2)))</f>
        <v>0</v>
      </c>
    </row>
    <row r="39" ht="40" customHeight="1">
      <c r="A39" s="8" t="str">
        <v>Silos Iced Oatmilk Shaken Espresso</v>
      </c>
      <c r="B39" s="11" t="n">
        <v>7</v>
      </c>
      <c r="C39" s="19"/>
      <c r="D39" s="11" t="n">
        <f>IF(C39="",0,IF(OR(NOT(ISNUMBER(C39)),C39&lt;0,MOD(C39,1)&lt;&gt;0),"Check qty",ROUND(B39*C39,2)))</f>
        <v>0</v>
      </c>
    </row>
    <row r="40" ht="28" customHeight="1">
      <c r="A40" s="2"/>
      <c r="B40" s="2"/>
      <c r="C40" s="2"/>
      <c r="D40" s="2"/>
    </row>
    <row r="41" ht="28" customHeight="1">
      <c r="A41" s="7" t="str">
        <v>Customize Your Drink</v>
      </c>
      <c r="B41" s="7"/>
      <c r="C41" s="7"/>
      <c r="D41" s="7"/>
    </row>
    <row r="42" ht="40" customHeight="1">
      <c r="A42" s="4" t="str">
        <v>Syrup add-on (choose flavor)</v>
      </c>
      <c r="B42" s="12" t="n">
        <v>0.75</v>
      </c>
      <c r="C42" s="19"/>
      <c r="D42" s="12" t="n">
        <f>IF(C42="",0,IF(OR(NOT(ISNUMBER(C42)),C42&lt;0,MOD(C42,1)&lt;&gt;0),"Check qty",ROUND(B42*C42,2)))</f>
        <v>0</v>
      </c>
    </row>
    <row r="43" ht="40" customHeight="1">
      <c r="A43" s="8" t="str">
        <v>Extra Espresso Shot</v>
      </c>
      <c r="B43" s="11" t="n">
        <v>2</v>
      </c>
      <c r="C43" s="19"/>
      <c r="D43" s="11" t="n">
        <f>IF(C43="",0,IF(OR(NOT(ISNUMBER(C43)),C43&lt;0,MOD(C43,1)&lt;&gt;0),"Check qty",ROUND(B43*C43,2)))</f>
        <v>0</v>
      </c>
    </row>
    <row r="44" ht="40" customHeight="1">
      <c r="A44" s="4" t="str">
        <v>Cold Foam</v>
      </c>
      <c r="B44" s="12" t="n">
        <v>1</v>
      </c>
      <c r="C44" s="19"/>
      <c r="D44" s="12" t="n">
        <f>IF(C44="",0,IF(OR(NOT(ISNUMBER(C44)),C44&lt;0,MOD(C44,1)&lt;&gt;0),"Check qty",ROUND(B44*C44,2)))</f>
        <v>0</v>
      </c>
    </row>
    <row r="45" ht="28" customHeight="1">
      <c r="A45" s="2"/>
      <c r="B45" s="2"/>
      <c r="C45" s="2"/>
      <c r="D45" s="2"/>
    </row>
    <row r="46" ht="28" customHeight="1">
      <c r="A46" s="7" t="str">
        <v>SUBTOTAL</v>
      </c>
      <c r="B46" s="7"/>
      <c r="C46" s="7"/>
      <c r="D46" s="7"/>
    </row>
    <row r="47" ht="28" customHeight="1">
      <c r="A47" s="2"/>
      <c r="B47" s="2"/>
      <c r="C47" s="2"/>
      <c r="D47" s="13" t="n">
        <f>IF(COUNTIFS(D8:D45,"Check qty")&gt;0,"Check qty",SUM(D8:D45))</f>
        <v>0</v>
      </c>
    </row>
    <row r="48" ht="28" customHeight="1">
      <c r="A48" s="2"/>
      <c r="B48" s="2"/>
      <c r="C48" s="2"/>
      <c r="D48" s="2"/>
    </row>
    <row r="49" ht="36" customHeight="1">
      <c r="A49" s="4" t="str">
        <v>See Your Estimate for the combined total + gratuity.</v>
      </c>
      <c r="B49" s="4"/>
      <c r="C49" s="4"/>
      <c r="D49" s="4"/>
    </row>
    <row r="50" ht="28" customHeight="1">
      <c r="A50" s="2"/>
      <c r="B50" s="2"/>
      <c r="C50" s="2"/>
      <c r="D50" s="2"/>
    </row>
    <row r="51" ht="38" customHeight="1">
      <c r="A51" s="4" t="str">
        <v>Specify syrup flavors and other preferences to our team.</v>
      </c>
      <c r="B51" s="4"/>
      <c r="C51" s="4"/>
      <c r="D51" s="4"/>
    </row>
    <row r="52" ht="28" customHeight="1">
      <c r="A52" s="2"/>
      <c r="B52" s="2"/>
      <c r="C52" s="2"/>
      <c r="D52" s="2"/>
    </row>
    <row r="53" ht="28" customHeight="1">
      <c r="A53" s="14" t="str">
        <v>Source: event menu Rev 3, October 16, 2026.</v>
      </c>
      <c r="B53" s="14"/>
      <c r="C53" s="14"/>
      <c r="D53" s="14"/>
    </row>
    <row r="54" ht="28" customHeight="1">
      <c r="A54" s="2"/>
      <c r="B54" s="2"/>
      <c r="C54" s="2"/>
      <c r="D54" s="2"/>
    </row>
    <row r="55" ht="28" customHeight="1">
      <c r="A55" s="2"/>
      <c r="B55" s="2"/>
      <c r="C55" s="2"/>
      <c r="D55" s="2"/>
    </row>
    <row r="56" ht="28" customHeight="1">
      <c r="A56" s="2"/>
      <c r="B56" s="2"/>
      <c r="C56" s="2"/>
      <c r="D56" s="2"/>
    </row>
    <row r="57" ht="28" customHeight="1">
      <c r="A57" s="2"/>
      <c r="B57" s="2"/>
      <c r="C57" s="2"/>
      <c r="D57" s="2"/>
    </row>
    <row r="58" ht="28" customHeight="1">
      <c r="A58" s="2"/>
      <c r="B58" s="2"/>
      <c r="C58" s="2"/>
      <c r="D58" s="2"/>
    </row>
    <row r="59" ht="28" customHeight="1">
      <c r="A59" s="2"/>
      <c r="B59" s="2"/>
      <c r="C59" s="2"/>
      <c r="D59" s="2"/>
    </row>
    <row r="60" ht="28" customHeight="1">
      <c r="A60" s="2"/>
      <c r="B60" s="2"/>
      <c r="C60" s="2"/>
      <c r="D60" s="2"/>
    </row>
    <row r="61" ht="28" customHeight="1">
      <c r="A61" s="2"/>
      <c r="B61" s="2"/>
      <c r="C61" s="2"/>
      <c r="D61" s="2"/>
    </row>
    <row r="62" ht="28" customHeight="1">
      <c r="A62" s="2"/>
      <c r="B62" s="2"/>
      <c r="C62" s="2"/>
      <c r="D62" s="2"/>
    </row>
    <row r="63" ht="28" customHeight="1">
      <c r="A63" s="2"/>
      <c r="B63" s="2"/>
      <c r="C63" s="2"/>
      <c r="D63" s="2"/>
    </row>
    <row r="64" ht="28" customHeight="1">
      <c r="A64" s="2"/>
      <c r="B64" s="2"/>
      <c r="C64" s="2"/>
      <c r="D64" s="2"/>
    </row>
    <row r="65" ht="28" customHeight="1">
      <c r="A65" s="2"/>
      <c r="B65" s="2"/>
      <c r="C65" s="2"/>
      <c r="D65" s="2"/>
    </row>
    <row r="66" ht="28" customHeight="1">
      <c r="A66" s="2"/>
      <c r="B66" s="2"/>
      <c r="C66" s="2"/>
      <c r="D66" s="2"/>
    </row>
    <row r="67" ht="28" customHeight="1">
      <c r="A67" s="2"/>
      <c r="B67" s="2"/>
      <c r="C67" s="2"/>
      <c r="D67" s="2"/>
    </row>
    <row r="68" ht="28" customHeight="1">
      <c r="A68" s="2"/>
      <c r="B68" s="2"/>
      <c r="C68" s="2"/>
      <c r="D68" s="2"/>
    </row>
    <row r="69" ht="28" customHeight="1">
      <c r="A69" s="2"/>
      <c r="B69" s="2"/>
      <c r="C69" s="2"/>
      <c r="D69" s="2"/>
    </row>
    <row r="70" ht="28" customHeight="1">
      <c r="A70" s="2"/>
      <c r="B70" s="2"/>
      <c r="C70" s="2"/>
      <c r="D70" s="2"/>
    </row>
    <row r="71" ht="28" customHeight="1">
      <c r="A71" s="2"/>
      <c r="B71" s="2"/>
      <c r="C71" s="2"/>
      <c r="D71" s="2"/>
    </row>
    <row r="72" ht="28" customHeight="1">
      <c r="A72" s="2"/>
      <c r="B72" s="2"/>
      <c r="C72" s="2"/>
      <c r="D72" s="2"/>
    </row>
    <row r="73" ht="28" customHeight="1">
      <c r="A73" s="2"/>
      <c r="B73" s="2"/>
      <c r="C73" s="2"/>
      <c r="D73" s="2"/>
    </row>
    <row r="74" ht="28" customHeight="1">
      <c r="A74" s="2"/>
      <c r="B74" s="2"/>
      <c r="C74" s="2"/>
      <c r="D74" s="2"/>
    </row>
    <row r="75" ht="28" customHeight="1">
      <c r="A75" s="2"/>
      <c r="B75" s="2"/>
      <c r="C75" s="2"/>
      <c r="D75" s="2"/>
    </row>
    <row r="76" ht="28" customHeight="1">
      <c r="A76" s="2"/>
      <c r="B76" s="2"/>
      <c r="C76" s="2"/>
      <c r="D76" s="2"/>
    </row>
    <row r="77" ht="28" customHeight="1">
      <c r="A77" s="2"/>
      <c r="B77" s="2"/>
      <c r="C77" s="2"/>
      <c r="D77" s="2"/>
    </row>
    <row r="78" ht="28" customHeight="1">
      <c r="A78" s="2"/>
      <c r="B78" s="2"/>
      <c r="C78" s="2"/>
      <c r="D78" s="2"/>
    </row>
    <row r="79" ht="28" customHeight="1">
      <c r="A79" s="2"/>
      <c r="B79" s="2"/>
      <c r="C79" s="2"/>
      <c r="D79" s="2"/>
    </row>
    <row r="80" ht="28" customHeight="1">
      <c r="A80" s="2"/>
      <c r="B80" s="2"/>
      <c r="C80" s="2"/>
      <c r="D80" s="2"/>
    </row>
    <row r="81" ht="28" customHeight="1">
      <c r="A81" s="2"/>
      <c r="B81" s="2"/>
      <c r="C81" s="2"/>
      <c r="D81" s="2"/>
    </row>
    <row r="82" ht="28" customHeight="1">
      <c r="A82" s="2"/>
      <c r="B82" s="2"/>
      <c r="C82" s="2"/>
      <c r="D82" s="2"/>
    </row>
    <row r="83" ht="28" customHeight="1">
      <c r="A83" s="2"/>
      <c r="B83" s="2"/>
      <c r="C83" s="2"/>
      <c r="D83" s="2"/>
    </row>
    <row r="84" ht="28" customHeight="1">
      <c r="A84" s="2"/>
      <c r="B84" s="2"/>
      <c r="C84" s="2"/>
      <c r="D84" s="2"/>
    </row>
    <row r="85" ht="28" customHeight="1">
      <c r="A85" s="2"/>
      <c r="B85" s="2"/>
      <c r="C85" s="2"/>
      <c r="D85" s="2"/>
    </row>
    <row r="86" ht="28" customHeight="1">
      <c r="A86" s="2"/>
      <c r="B86" s="2"/>
      <c r="C86" s="2"/>
      <c r="D86" s="2"/>
    </row>
    <row r="87" ht="28" customHeight="1">
      <c r="A87" s="2"/>
      <c r="B87" s="2"/>
      <c r="C87" s="2"/>
      <c r="D87" s="2"/>
    </row>
    <row r="88" ht="28" customHeight="1">
      <c r="A88" s="2"/>
      <c r="B88" s="2"/>
      <c r="C88" s="2"/>
      <c r="D88" s="2"/>
    </row>
    <row r="89" ht="28" customHeight="1">
      <c r="A89" s="2"/>
      <c r="B89" s="2"/>
      <c r="C89" s="2"/>
      <c r="D89" s="2"/>
    </row>
    <row r="90" ht="28" customHeight="1">
      <c r="A90" s="2"/>
      <c r="B90" s="2"/>
      <c r="C90" s="2"/>
      <c r="D90" s="2"/>
    </row>
    <row r="91" ht="28" customHeight="1">
      <c r="A91" s="2"/>
      <c r="B91" s="2"/>
      <c r="C91" s="2"/>
      <c r="D91" s="2"/>
    </row>
    <row r="92" ht="28" customHeight="1">
      <c r="A92" s="2"/>
      <c r="B92" s="2"/>
      <c r="C92" s="2"/>
      <c r="D92" s="2"/>
    </row>
    <row r="93" ht="28" customHeight="1">
      <c r="A93" s="2"/>
      <c r="B93" s="2"/>
      <c r="C93" s="2"/>
      <c r="D93" s="2"/>
    </row>
    <row r="94" ht="28" customHeight="1">
      <c r="A94" s="2"/>
      <c r="B94" s="2"/>
      <c r="C94" s="2"/>
      <c r="D94" s="2"/>
    </row>
    <row r="95" ht="28" customHeight="1">
      <c r="A95" s="2"/>
      <c r="B95" s="2"/>
      <c r="C95" s="2"/>
      <c r="D95" s="2"/>
    </row>
    <row r="96" ht="28" customHeight="1">
      <c r="A96" s="2"/>
      <c r="B96" s="2"/>
      <c r="C96" s="2"/>
      <c r="D96" s="2"/>
    </row>
    <row r="97" ht="28" customHeight="1">
      <c r="A97" s="2"/>
      <c r="B97" s="2"/>
      <c r="C97" s="2"/>
      <c r="D97" s="2"/>
    </row>
    <row r="98" ht="28" customHeight="1">
      <c r="A98" s="2"/>
      <c r="B98" s="2"/>
      <c r="C98" s="2"/>
      <c r="D98" s="2"/>
    </row>
    <row r="99" ht="28" customHeight="1">
      <c r="A99" s="2"/>
      <c r="B99" s="2"/>
      <c r="C99" s="2"/>
      <c r="D99" s="2"/>
    </row>
    <row r="100" ht="28" customHeight="1">
      <c r="A100" s="2"/>
      <c r="B100" s="2"/>
      <c r="C100" s="2"/>
      <c r="D100" s="2"/>
    </row>
    <row r="101" ht="28" customHeight="1">
      <c r="A101" s="2"/>
      <c r="B101" s="2"/>
      <c r="C101" s="2"/>
      <c r="D101" s="2"/>
    </row>
    <row r="102" ht="28" customHeight="1">
      <c r="A102" s="2"/>
      <c r="B102" s="2"/>
      <c r="C102" s="2"/>
      <c r="D102" s="2"/>
    </row>
    <row r="103" ht="28" customHeight="1">
      <c r="A103" s="2"/>
      <c r="B103" s="2"/>
      <c r="C103" s="2"/>
      <c r="D103" s="2"/>
    </row>
    <row r="104" ht="28" customHeight="1">
      <c r="A104" s="2"/>
      <c r="B104" s="2"/>
      <c r="C104" s="2"/>
      <c r="D104" s="2"/>
    </row>
    <row r="105" ht="28" customHeight="1">
      <c r="A105" s="2"/>
      <c r="B105" s="2"/>
      <c r="C105" s="2"/>
      <c r="D105" s="2"/>
    </row>
    <row r="106" ht="28" customHeight="1">
      <c r="A106" s="2"/>
      <c r="B106" s="2"/>
      <c r="C106" s="2"/>
      <c r="D106" s="2"/>
    </row>
    <row r="107" ht="28" customHeight="1">
      <c r="A107" s="2"/>
      <c r="B107" s="2"/>
      <c r="C107" s="2"/>
      <c r="D107" s="2"/>
    </row>
    <row r="108" ht="28" customHeight="1">
      <c r="A108" s="2"/>
      <c r="B108" s="2"/>
      <c r="C108" s="2"/>
      <c r="D108" s="2"/>
    </row>
    <row r="109" ht="28" customHeight="1">
      <c r="A109" s="2"/>
      <c r="B109" s="2"/>
      <c r="C109" s="2"/>
      <c r="D109" s="2"/>
    </row>
    <row r="110" ht="28" customHeight="1">
      <c r="A110" s="2"/>
      <c r="B110" s="2"/>
      <c r="C110" s="2"/>
      <c r="D110" s="2"/>
    </row>
    <row r="111" ht="28" customHeight="1">
      <c r="A111" s="2"/>
      <c r="B111" s="2"/>
      <c r="C111" s="2"/>
      <c r="D111" s="2"/>
    </row>
    <row r="112" ht="28" customHeight="1">
      <c r="A112" s="2"/>
      <c r="B112" s="2"/>
      <c r="C112" s="2"/>
      <c r="D112" s="2"/>
    </row>
    <row r="113" ht="28" customHeight="1">
      <c r="A113" s="2"/>
      <c r="B113" s="2"/>
      <c r="C113" s="2"/>
      <c r="D113" s="2"/>
    </row>
    <row r="114" ht="28" customHeight="1">
      <c r="A114" s="2"/>
      <c r="B114" s="2"/>
      <c r="C114" s="2"/>
      <c r="D114" s="2"/>
    </row>
    <row r="115" ht="28" customHeight="1">
      <c r="A115" s="2"/>
      <c r="B115" s="2"/>
      <c r="C115" s="2"/>
      <c r="D115" s="2"/>
    </row>
    <row r="116" ht="28" customHeight="1">
      <c r="A116" s="2"/>
      <c r="B116" s="2"/>
      <c r="C116" s="2"/>
      <c r="D116" s="2"/>
    </row>
    <row r="117" ht="28" customHeight="1">
      <c r="A117" s="2"/>
      <c r="B117" s="2"/>
      <c r="C117" s="2"/>
      <c r="D117" s="2"/>
    </row>
    <row r="118" ht="28" customHeight="1">
      <c r="A118" s="2"/>
      <c r="B118" s="2"/>
      <c r="C118" s="2"/>
      <c r="D118" s="2"/>
    </row>
    <row r="119" ht="28" customHeight="1">
      <c r="A119" s="2"/>
      <c r="B119" s="2"/>
      <c r="C119" s="2"/>
      <c r="D119" s="2"/>
    </row>
    <row r="120" ht="28" customHeight="1">
      <c r="A120" s="2"/>
      <c r="B120" s="2"/>
      <c r="C120" s="2"/>
      <c r="D120" s="2"/>
    </row>
    <row r="121" ht="28" customHeight="1">
      <c r="A121" s="2"/>
      <c r="B121" s="2"/>
      <c r="C121" s="2"/>
      <c r="D121" s="2"/>
    </row>
    <row r="122" ht="28" customHeight="1">
      <c r="A122" s="2"/>
      <c r="B122" s="2"/>
      <c r="C122" s="2"/>
      <c r="D122" s="2"/>
    </row>
    <row r="123" ht="28" customHeight="1">
      <c r="A123" s="2"/>
      <c r="B123" s="2"/>
      <c r="C123" s="2"/>
      <c r="D123" s="2"/>
    </row>
    <row r="124" ht="28" customHeight="1">
      <c r="A124" s="2"/>
      <c r="B124" s="2"/>
      <c r="C124" s="2"/>
      <c r="D124" s="2"/>
    </row>
    <row r="125" ht="28" customHeight="1">
      <c r="A125" s="2"/>
      <c r="B125" s="2"/>
      <c r="C125" s="2"/>
      <c r="D125" s="2"/>
    </row>
    <row r="126" ht="28" customHeight="1">
      <c r="A126" s="2"/>
      <c r="B126" s="2"/>
      <c r="C126" s="2"/>
      <c r="D126" s="2"/>
    </row>
    <row r="127" ht="28" customHeight="1">
      <c r="A127" s="2"/>
      <c r="B127" s="2"/>
      <c r="C127" s="2"/>
      <c r="D127" s="2"/>
    </row>
    <row r="128" ht="28" customHeight="1">
      <c r="A128" s="2"/>
      <c r="B128" s="2"/>
      <c r="C128" s="2"/>
      <c r="D128" s="2"/>
    </row>
    <row r="129" ht="28" customHeight="1">
      <c r="A129" s="2"/>
      <c r="B129" s="2"/>
      <c r="C129" s="2"/>
      <c r="D129" s="2"/>
    </row>
    <row r="130" ht="28" customHeight="1">
      <c r="A130" s="2"/>
      <c r="B130" s="2"/>
      <c r="C130" s="2"/>
      <c r="D130" s="2"/>
    </row>
    <row r="131" ht="28" customHeight="1">
      <c r="A131" s="2"/>
      <c r="B131" s="2"/>
      <c r="C131" s="2"/>
      <c r="D131" s="2"/>
    </row>
    <row r="132" ht="28" customHeight="1">
      <c r="A132" s="2"/>
      <c r="B132" s="2"/>
      <c r="C132" s="2"/>
      <c r="D132" s="2"/>
    </row>
    <row r="133" ht="28" customHeight="1">
      <c r="A133" s="2"/>
      <c r="B133" s="2"/>
      <c r="C133" s="2"/>
      <c r="D133" s="2"/>
    </row>
    <row r="134" ht="28" customHeight="1">
      <c r="A134" s="2"/>
      <c r="B134" s="2"/>
      <c r="C134" s="2"/>
      <c r="D134" s="2"/>
    </row>
    <row r="135" ht="28" customHeight="1">
      <c r="A135" s="2"/>
      <c r="B135" s="2"/>
      <c r="C135" s="2"/>
      <c r="D135" s="2"/>
    </row>
    <row r="136" ht="28" customHeight="1">
      <c r="A136" s="2"/>
      <c r="B136" s="2"/>
      <c r="C136" s="2"/>
      <c r="D136" s="2"/>
    </row>
    <row r="137" ht="28" customHeight="1">
      <c r="A137" s="2"/>
      <c r="B137" s="2"/>
      <c r="C137" s="2"/>
      <c r="D137" s="2"/>
    </row>
    <row r="138" ht="28" customHeight="1">
      <c r="A138" s="2"/>
      <c r="B138" s="2"/>
      <c r="C138" s="2"/>
      <c r="D138" s="2"/>
    </row>
    <row r="139" ht="28" customHeight="1">
      <c r="A139" s="2"/>
      <c r="B139" s="2"/>
      <c r="C139" s="2"/>
      <c r="D139" s="2"/>
    </row>
    <row r="140" ht="28" customHeight="1">
      <c r="A140" s="2"/>
      <c r="B140" s="2"/>
      <c r="C140" s="2"/>
      <c r="D140" s="2"/>
    </row>
    <row r="141" ht="28" customHeight="1">
      <c r="A141" s="2"/>
      <c r="B141" s="2"/>
      <c r="C141" s="2"/>
      <c r="D141" s="2"/>
    </row>
    <row r="142" ht="28" customHeight="1">
      <c r="A142" s="2"/>
      <c r="B142" s="2"/>
      <c r="C142" s="2"/>
      <c r="D142" s="2"/>
    </row>
    <row r="143" ht="28" customHeight="1">
      <c r="A143" s="2"/>
      <c r="B143" s="2"/>
      <c r="C143" s="2"/>
      <c r="D143" s="2"/>
    </row>
    <row r="144" ht="28" customHeight="1">
      <c r="A144" s="2"/>
      <c r="B144" s="2"/>
      <c r="C144" s="2"/>
      <c r="D144" s="2"/>
    </row>
    <row r="145" ht="28" customHeight="1">
      <c r="A145" s="2"/>
      <c r="B145" s="2"/>
      <c r="C145" s="2"/>
      <c r="D145" s="2"/>
    </row>
    <row r="146" ht="28" customHeight="1">
      <c r="A146" s="2"/>
      <c r="B146" s="2"/>
      <c r="C146" s="2"/>
      <c r="D146" s="2"/>
    </row>
    <row r="147" ht="28" customHeight="1">
      <c r="A147" s="2"/>
      <c r="B147" s="2"/>
      <c r="C147" s="2"/>
      <c r="D147" s="2"/>
    </row>
    <row r="148" ht="28" customHeight="1">
      <c r="A148" s="2"/>
      <c r="B148" s="2"/>
      <c r="C148" s="2"/>
      <c r="D148" s="2"/>
    </row>
    <row r="149" ht="28" customHeight="1">
      <c r="A149" s="2"/>
      <c r="B149" s="2"/>
      <c r="C149" s="2"/>
      <c r="D149" s="2"/>
    </row>
    <row r="150" ht="28" customHeight="1">
      <c r="A150" s="2"/>
      <c r="B150" s="2"/>
      <c r="C150" s="2"/>
      <c r="D150" s="2"/>
    </row>
    <row r="151" ht="28" customHeight="1">
      <c r="A151" s="2"/>
      <c r="B151" s="2"/>
      <c r="C151" s="2"/>
      <c r="D151" s="2"/>
    </row>
    <row r="152" ht="28" customHeight="1">
      <c r="A152" s="2"/>
      <c r="B152" s="2"/>
      <c r="C152" s="2"/>
      <c r="D152" s="2"/>
    </row>
    <row r="153" ht="28" customHeight="1">
      <c r="A153" s="2"/>
      <c r="B153" s="2"/>
      <c r="C153" s="2"/>
      <c r="D153" s="2"/>
    </row>
    <row r="154" ht="28" customHeight="1">
      <c r="A154" s="2"/>
      <c r="B154" s="2"/>
      <c r="C154" s="2"/>
      <c r="D154" s="2"/>
    </row>
    <row r="155" ht="28" customHeight="1">
      <c r="A155" s="2"/>
      <c r="B155" s="2"/>
      <c r="C155" s="2"/>
      <c r="D155" s="2"/>
    </row>
    <row r="156" ht="28" customHeight="1">
      <c r="A156" s="2"/>
      <c r="B156" s="2"/>
      <c r="C156" s="2"/>
      <c r="D156" s="2"/>
    </row>
    <row r="157" ht="28" customHeight="1">
      <c r="A157" s="2"/>
      <c r="B157" s="2"/>
      <c r="C157" s="2"/>
      <c r="D157" s="2"/>
    </row>
    <row r="158" ht="28" customHeight="1">
      <c r="A158" s="2"/>
      <c r="B158" s="2"/>
      <c r="C158" s="2"/>
      <c r="D158" s="2"/>
    </row>
    <row r="159" ht="28" customHeight="1">
      <c r="A159" s="2"/>
      <c r="B159" s="2"/>
      <c r="C159" s="2"/>
      <c r="D159" s="2"/>
    </row>
    <row r="160" ht="28" customHeight="1">
      <c r="A160" s="2"/>
      <c r="B160" s="2"/>
      <c r="C160" s="2"/>
      <c r="D160" s="2"/>
    </row>
    <row r="161" ht="28" customHeight="1">
      <c r="A161" s="2"/>
      <c r="B161" s="2"/>
      <c r="C161" s="2"/>
      <c r="D161" s="2"/>
    </row>
    <row r="162" ht="28" customHeight="1">
      <c r="A162" s="2"/>
      <c r="B162" s="2"/>
      <c r="C162" s="2"/>
      <c r="D162" s="2"/>
    </row>
    <row r="163" ht="28" customHeight="1">
      <c r="A163" s="2"/>
      <c r="B163" s="2"/>
      <c r="C163" s="2"/>
      <c r="D163" s="2"/>
    </row>
    <row r="164" ht="28" customHeight="1">
      <c r="A164" s="2"/>
      <c r="B164" s="2"/>
      <c r="C164" s="2"/>
      <c r="D164" s="2"/>
    </row>
    <row r="165" ht="28" customHeight="1">
      <c r="A165" s="2"/>
      <c r="B165" s="2"/>
      <c r="C165" s="2"/>
      <c r="D165" s="2"/>
    </row>
    <row r="166" ht="28" customHeight="1">
      <c r="A166" s="2"/>
      <c r="B166" s="2"/>
      <c r="C166" s="2"/>
      <c r="D166" s="2"/>
    </row>
    <row r="167" ht="28" customHeight="1">
      <c r="A167" s="2"/>
      <c r="B167" s="2"/>
      <c r="C167" s="2"/>
      <c r="D167" s="2"/>
    </row>
    <row r="168" ht="28" customHeight="1">
      <c r="A168" s="2"/>
      <c r="B168" s="2"/>
      <c r="C168" s="2"/>
      <c r="D168" s="2"/>
    </row>
    <row r="169" ht="28" customHeight="1">
      <c r="A169" s="2"/>
      <c r="B169" s="2"/>
      <c r="C169" s="2"/>
      <c r="D169" s="2"/>
    </row>
    <row r="170" ht="28" customHeight="1">
      <c r="A170" s="2"/>
      <c r="B170" s="2"/>
      <c r="C170" s="2"/>
      <c r="D170" s="2"/>
    </row>
  </sheetData>
  <sheetProtection sheet="1" objects="1" scenarios="1" selectLockedCells="0" selectUnlockedCells="0"/>
  <mergeCells>
    <mergeCell ref="A2:D2"/>
    <mergeCell ref="A3:D3"/>
    <mergeCell ref="A4:D4"/>
    <mergeCell ref="A8:D8"/>
    <mergeCell ref="A22:D22"/>
    <mergeCell ref="A30:D30"/>
    <mergeCell ref="A41:D41"/>
    <mergeCell ref="A46:D46"/>
    <mergeCell ref="A49:D49"/>
    <mergeCell ref="A51:D51"/>
    <mergeCell ref="A53:D53"/>
  </mergeCells>
  <dataValidations count="30">
    <dataValidation type="whole" operator="between" sqref="C9" showErrorMessage="1" errorStyle="stop" errorTitle="Quantity" error="Enter a whole number of zero or more." allowBlank="1">
      <formula1>0</formula1>
      <formula2>10000</formula2>
    </dataValidation>
    <dataValidation type="whole" operator="between" sqref="C10" showErrorMessage="1" errorStyle="stop" errorTitle="Quantity" error="Enter a whole number of zero or more." allowBlank="1">
      <formula1>0</formula1>
      <formula2>10000</formula2>
    </dataValidation>
    <dataValidation type="whole" operator="between" sqref="C11" showErrorMessage="1" errorStyle="stop" errorTitle="Quantity" error="Enter a whole number of zero or more." allowBlank="1">
      <formula1>0</formula1>
      <formula2>10000</formula2>
    </dataValidation>
    <dataValidation type="whole" operator="between" sqref="C12" showErrorMessage="1" errorStyle="stop" errorTitle="Quantity" error="Enter a whole number of zero or more." allowBlank="1">
      <formula1>0</formula1>
      <formula2>10000</formula2>
    </dataValidation>
    <dataValidation type="whole" operator="between" sqref="C13" showErrorMessage="1" errorStyle="stop" errorTitle="Quantity" error="Enter a whole number of zero or more." allowBlank="1">
      <formula1>0</formula1>
      <formula2>10000</formula2>
    </dataValidation>
    <dataValidation type="whole" operator="between" sqref="C14" showErrorMessage="1" errorStyle="stop" errorTitle="Quantity" error="Enter a whole number of zero or more." allowBlank="1">
      <formula1>0</formula1>
      <formula2>10000</formula2>
    </dataValidation>
    <dataValidation type="whole" operator="between" sqref="C15" showErrorMessage="1" errorStyle="stop" errorTitle="Quantity" error="Enter a whole number of zero or more." allowBlank="1">
      <formula1>0</formula1>
      <formula2>10000</formula2>
    </dataValidation>
    <dataValidation type="whole" operator="between" sqref="C16" showErrorMessage="1" errorStyle="stop" errorTitle="Quantity" error="Enter a whole number of zero or more." allowBlank="1">
      <formula1>0</formula1>
      <formula2>10000</formula2>
    </dataValidation>
    <dataValidation type="whole" operator="between" sqref="C17" showErrorMessage="1" errorStyle="stop" errorTitle="Quantity" error="Enter a whole number of zero or more." allowBlank="1">
      <formula1>0</formula1>
      <formula2>10000</formula2>
    </dataValidation>
    <dataValidation type="whole" operator="between" sqref="C18" showErrorMessage="1" errorStyle="stop" errorTitle="Quantity" error="Enter a whole number of zero or more." allowBlank="1">
      <formula1>0</formula1>
      <formula2>10000</formula2>
    </dataValidation>
    <dataValidation type="whole" operator="between" sqref="C19" showErrorMessage="1" errorStyle="stop" errorTitle="Quantity" error="Enter a whole number of zero or more." allowBlank="1">
      <formula1>0</formula1>
      <formula2>10000</formula2>
    </dataValidation>
    <dataValidation type="whole" operator="between" sqref="C20" showErrorMessage="1" errorStyle="stop" errorTitle="Quantity" error="Enter a whole number of zero or more." allowBlank="1">
      <formula1>0</formula1>
      <formula2>10000</formula2>
    </dataValidation>
    <dataValidation type="whole" operator="between" sqref="C23" showErrorMessage="1" errorStyle="stop" errorTitle="Quantity" error="Enter a whole number of zero or more." allowBlank="1">
      <formula1>0</formula1>
      <formula2>10000</formula2>
    </dataValidation>
    <dataValidation type="whole" operator="between" sqref="C24" showErrorMessage="1" errorStyle="stop" errorTitle="Quantity" error="Enter a whole number of zero or more." allowBlank="1">
      <formula1>0</formula1>
      <formula2>10000</formula2>
    </dataValidation>
    <dataValidation type="whole" operator="between" sqref="C25" showErrorMessage="1" errorStyle="stop" errorTitle="Quantity" error="Enter a whole number of zero or more." allowBlank="1">
      <formula1>0</formula1>
      <formula2>10000</formula2>
    </dataValidation>
    <dataValidation type="whole" operator="between" sqref="C26" showErrorMessage="1" errorStyle="stop" errorTitle="Quantity" error="Enter a whole number of zero or more." allowBlank="1">
      <formula1>0</formula1>
      <formula2>10000</formula2>
    </dataValidation>
    <dataValidation type="whole" operator="between" sqref="C27" showErrorMessage="1" errorStyle="stop" errorTitle="Quantity" error="Enter a whole number of zero or more." allowBlank="1">
      <formula1>0</formula1>
      <formula2>10000</formula2>
    </dataValidation>
    <dataValidation type="whole" operator="between" sqref="C28" showErrorMessage="1" errorStyle="stop" errorTitle="Quantity" error="Enter a whole number of zero or more." allowBlank="1">
      <formula1>0</formula1>
      <formula2>10000</formula2>
    </dataValidation>
    <dataValidation type="whole" operator="between" sqref="C31" showErrorMessage="1" errorStyle="stop" errorTitle="Quantity" error="Enter a whole number of zero or more." allowBlank="1">
      <formula1>0</formula1>
      <formula2>10000</formula2>
    </dataValidation>
    <dataValidation type="whole" operator="between" sqref="C32" showErrorMessage="1" errorStyle="stop" errorTitle="Quantity" error="Enter a whole number of zero or more." allowBlank="1">
      <formula1>0</formula1>
      <formula2>10000</formula2>
    </dataValidation>
    <dataValidation type="whole" operator="between" sqref="C33" showErrorMessage="1" errorStyle="stop" errorTitle="Quantity" error="Enter a whole number of zero or more." allowBlank="1">
      <formula1>0</formula1>
      <formula2>10000</formula2>
    </dataValidation>
    <dataValidation type="whole" operator="between" sqref="C34" showErrorMessage="1" errorStyle="stop" errorTitle="Quantity" error="Enter a whole number of zero or more." allowBlank="1">
      <formula1>0</formula1>
      <formula2>10000</formula2>
    </dataValidation>
    <dataValidation type="whole" operator="between" sqref="C35" showErrorMessage="1" errorStyle="stop" errorTitle="Quantity" error="Enter a whole number of zero or more." allowBlank="1">
      <formula1>0</formula1>
      <formula2>10000</formula2>
    </dataValidation>
    <dataValidation type="whole" operator="between" sqref="C36" showErrorMessage="1" errorStyle="stop" errorTitle="Quantity" error="Enter a whole number of zero or more." allowBlank="1">
      <formula1>0</formula1>
      <formula2>10000</formula2>
    </dataValidation>
    <dataValidation type="whole" operator="between" sqref="C37" showErrorMessage="1" errorStyle="stop" errorTitle="Quantity" error="Enter a whole number of zero or more." allowBlank="1">
      <formula1>0</formula1>
      <formula2>10000</formula2>
    </dataValidation>
    <dataValidation type="whole" operator="between" sqref="C38" showErrorMessage="1" errorStyle="stop" errorTitle="Quantity" error="Enter a whole number of zero or more." allowBlank="1">
      <formula1>0</formula1>
      <formula2>10000</formula2>
    </dataValidation>
    <dataValidation type="whole" operator="between" sqref="C39" showErrorMessage="1" errorStyle="stop" errorTitle="Quantity" error="Enter a whole number of zero or more." allowBlank="1">
      <formula1>0</formula1>
      <formula2>10000</formula2>
    </dataValidation>
    <dataValidation type="whole" operator="between" sqref="C42" showErrorMessage="1" errorStyle="stop" errorTitle="Quantity" error="Enter a whole number of zero or more." allowBlank="1">
      <formula1>0</formula1>
      <formula2>10000</formula2>
    </dataValidation>
    <dataValidation type="whole" operator="between" sqref="C43" showErrorMessage="1" errorStyle="stop" errorTitle="Quantity" error="Enter a whole number of zero or more." allowBlank="1">
      <formula1>0</formula1>
      <formula2>10000</formula2>
    </dataValidation>
    <dataValidation type="whole" operator="between" sqref="C44" showErrorMessage="1" errorStyle="stop" errorTitle="Quantity" error="Enter a whole number of zero or more." allowBlank="1">
      <formula1>0</formula1>
      <formula2>10000</formula2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tabColor rgb="FF98713B"/>
  </sheetPr>
  <sheetViews>
    <sheetView showGridLines="0" workbookViewId="0"/>
  </sheetViews>
  <sheetFormatPr defaultRowHeight="15"/>
  <cols>
    <col min="1" max="1" width="31" hidden="0" customWidth="1"/>
    <col min="2" max="2" width="10" hidden="0" customWidth="1"/>
    <col min="3" max="3" width="8" hidden="0" customWidth="1"/>
    <col min="4" max="4" width="12" hidden="0" customWidth="1"/>
    <col min="5" max="13" hidden="1" width="12" customWidth="1"/>
  </cols>
  <sheetData>
    <row r="1" ht="28" customHeight="1">
      <c r="A1" s="2"/>
      <c r="B1" s="2"/>
      <c r="C1" s="2"/>
      <c r="D1" s="2"/>
      <c r="G1" t="n">
        <v>0.2</v>
      </c>
    </row>
    <row r="2" ht="28" customHeight="1">
      <c r="A2" s="3" t="str">
        <v>MODESTO SILOS</v>
      </c>
      <c r="B2" s="2"/>
      <c r="C2" s="2"/>
      <c r="D2" s="2"/>
      <c r="H2" t="str">
        <v>Bagel and Cream Cheese</v>
      </c>
      <c r="I2" t="n">
        <f>'Food'!B9</f>
        <v>7.99</v>
      </c>
      <c r="J2" t="n">
        <f>'Food'!C9</f>
        <v>0</v>
      </c>
      <c r="K2" t="n">
        <f>'Food'!D9</f>
        <v>0</v>
      </c>
      <c r="L2" t="n">
        <f>IF(AND(ISNUMBER(J2),J2&gt;0),COUNTIFS($J$2:J2,"&gt;0"),0)</f>
        <v>0</v>
      </c>
    </row>
    <row r="3" ht="28" customHeight="1">
      <c r="A3" s="2" t="str">
        <v>YOUR EVENT MENU ESTIMATE</v>
      </c>
      <c r="B3" s="2"/>
      <c r="C3" s="2"/>
      <c r="D3" s="2"/>
      <c r="H3" t="str">
        <v>Breakfast Sandwich</v>
      </c>
      <c r="I3" t="n">
        <f>'Food'!B10</f>
        <v>11.99</v>
      </c>
      <c r="J3" t="n">
        <f>'Food'!C10</f>
        <v>0</v>
      </c>
      <c r="K3" t="n">
        <f>'Food'!D10</f>
        <v>0</v>
      </c>
      <c r="L3" t="n">
        <f>IF(AND(ISNUMBER(J3),J3&gt;0),COUNTIFS($J$2:J3,"&gt;0"),0)</f>
        <v>0</v>
      </c>
    </row>
    <row r="4" ht="36" customHeight="1">
      <c r="A4" s="4" t="str">
        <v>Menu selections + gratuity. Tax and space fee are extra.</v>
      </c>
      <c r="B4" s="4"/>
      <c r="C4" s="4"/>
      <c r="D4" s="4"/>
      <c r="H4" t="str">
        <v>Chilaquiles - green or red (spicy)</v>
      </c>
      <c r="I4" t="n">
        <f>'Food'!B11</f>
        <v>19.99</v>
      </c>
      <c r="J4" t="n">
        <f>'Food'!C11</f>
        <v>0</v>
      </c>
      <c r="K4" t="n">
        <f>'Food'!D11</f>
        <v>0</v>
      </c>
      <c r="L4" t="n">
        <f>IF(AND(ISNUMBER(J4),J4&gt;0),COUNTIFS($J$2:J4,"&gt;0"),0)</f>
        <v>0</v>
      </c>
    </row>
    <row r="5" ht="36" customHeight="1">
      <c r="A5" s="4" t="str">
        <v>Estimate only. Booking and contract are handled separately.</v>
      </c>
      <c r="B5" s="4"/>
      <c r="C5" s="4"/>
      <c r="D5" s="4"/>
      <c r="H5" t="str">
        <v>Chorizo Breakfast Burrito</v>
      </c>
      <c r="I5" t="n">
        <f>'Food'!B12</f>
        <v>11.99</v>
      </c>
      <c r="J5" t="n">
        <f>'Food'!C12</f>
        <v>0</v>
      </c>
      <c r="K5" t="n">
        <f>'Food'!D12</f>
        <v>0</v>
      </c>
      <c r="L5" t="n">
        <f>IF(AND(ISNUMBER(J5),J5&gt;0),COUNTIFS($J$2:J5,"&gt;0"),0)</f>
        <v>0</v>
      </c>
    </row>
    <row r="6" ht="28" customHeight="1">
      <c r="A6" s="2"/>
      <c r="B6" s="2"/>
      <c r="C6" s="2"/>
      <c r="D6" s="2"/>
      <c r="H6" t="str">
        <v>Fresh Fruit Bowl</v>
      </c>
      <c r="I6" t="n">
        <f>'Food'!B13</f>
        <v>7.99</v>
      </c>
      <c r="J6" t="n">
        <f>'Food'!C13</f>
        <v>0</v>
      </c>
      <c r="K6" t="n">
        <f>'Food'!D13</f>
        <v>0</v>
      </c>
      <c r="L6" t="n">
        <f>IF(AND(ISNUMBER(J6),J6&gt;0),COUNTIFS($J$2:J6,"&gt;0"),0)</f>
        <v>0</v>
      </c>
    </row>
    <row r="7" ht="28" customHeight="1">
      <c r="A7" s="2" t="str">
        <v>Food</v>
      </c>
      <c r="B7" s="2"/>
      <c r="C7" s="2"/>
      <c r="D7" s="12" t="n">
        <f>'Food'!D65</f>
        <v>0</v>
      </c>
      <c r="H7" t="str">
        <v>Huevos Rancheros</v>
      </c>
      <c r="I7" t="n">
        <f>'Food'!B14</f>
        <v>19.99</v>
      </c>
      <c r="J7" t="n">
        <f>'Food'!C14</f>
        <v>0</v>
      </c>
      <c r="K7" t="n">
        <f>'Food'!D14</f>
        <v>0</v>
      </c>
      <c r="L7" t="n">
        <f>IF(AND(ISNUMBER(J7),J7&gt;0),COUNTIFS($J$2:J7,"&gt;0"),0)</f>
        <v>0</v>
      </c>
    </row>
    <row r="8" ht="28" customHeight="1">
      <c r="A8" s="2" t="str">
        <v>Bar</v>
      </c>
      <c r="B8" s="2"/>
      <c r="C8" s="2"/>
      <c r="D8" s="12" t="n">
        <f>'Bar'!D82</f>
        <v>0</v>
      </c>
      <c r="H8" t="str">
        <v>Pancake and Eggs Breakfast</v>
      </c>
      <c r="I8" t="n">
        <f>'Food'!B15</f>
        <v>13.99</v>
      </c>
      <c r="J8" t="n">
        <f>'Food'!C15</f>
        <v>0</v>
      </c>
      <c r="K8" t="n">
        <f>'Food'!D15</f>
        <v>0</v>
      </c>
      <c r="L8" t="n">
        <f>IF(AND(ISNUMBER(J8),J8&gt;0),COUNTIFS($J$2:J8,"&gt;0"),0)</f>
        <v>0</v>
      </c>
    </row>
    <row r="9" ht="28" customHeight="1">
      <c r="A9" s="2" t="str">
        <v>Cafecito</v>
      </c>
      <c r="B9" s="2"/>
      <c r="C9" s="2"/>
      <c r="D9" s="12" t="n">
        <f>'Cafecito'!D47</f>
        <v>0</v>
      </c>
      <c r="H9" t="str">
        <v>Mexican Omelette</v>
      </c>
      <c r="I9" t="n">
        <f>'Food'!B16</f>
        <v>19.99</v>
      </c>
      <c r="J9" t="n">
        <f>'Food'!C16</f>
        <v>0</v>
      </c>
      <c r="K9" t="n">
        <f>'Food'!D16</f>
        <v>0</v>
      </c>
      <c r="L9" t="n">
        <f>IF(AND(ISNUMBER(J9),J9&gt;0),COUNTIFS($J$2:J9,"&gt;0"),0)</f>
        <v>0</v>
      </c>
    </row>
    <row r="10" ht="28" customHeight="1">
      <c r="A10" s="2"/>
      <c r="B10" s="2"/>
      <c r="C10" s="2"/>
      <c r="D10" s="12"/>
      <c r="H10" t="str">
        <v>Veggie Omelette</v>
      </c>
      <c r="I10" t="n">
        <f>'Food'!B17</f>
        <v>14.99</v>
      </c>
      <c r="J10" t="n">
        <f>'Food'!C17</f>
        <v>0</v>
      </c>
      <c r="K10" t="n">
        <f>'Food'!D17</f>
        <v>0</v>
      </c>
      <c r="L10" t="n">
        <f>IF(AND(ISNUMBER(J10),J10&gt;0),COUNTIFS($J$2:J10,"&gt;0"),0)</f>
        <v>0</v>
      </c>
    </row>
    <row r="11" ht="28" customHeight="1">
      <c r="A11" s="2" t="str">
        <v>Menu subtotal</v>
      </c>
      <c r="B11" s="2"/>
      <c r="C11" s="2"/>
      <c r="D11" s="12" t="n">
        <f>IF(COUNT(D7:D9)=3,SUM(D7:D9),"Check qty")</f>
        <v>0</v>
      </c>
      <c r="H11" t="str">
        <v>Avocado Toast</v>
      </c>
      <c r="I11" t="n">
        <f>'Food'!B18</f>
        <v>9.99</v>
      </c>
      <c r="J11" t="n">
        <f>'Food'!C18</f>
        <v>0</v>
      </c>
      <c r="K11" t="n">
        <f>'Food'!D18</f>
        <v>0</v>
      </c>
      <c r="L11" t="n">
        <f>IF(AND(ISNUMBER(J11),J11&gt;0),COUNTIFS($J$2:J11,"&gt;0"),0)</f>
        <v>0</v>
      </c>
    </row>
    <row r="12" ht="28" customHeight="1">
      <c r="A12" s="2" t="str">
        <v>Mandatory gratuity (20%)</v>
      </c>
      <c r="B12" s="2"/>
      <c r="C12" s="2"/>
      <c r="D12" s="12" t="n">
        <f>IF(ISNUMBER(D11),ROUND(D11*$G$1,2),"Check qty")</f>
        <v>0</v>
      </c>
      <c r="H12" t="str">
        <v>Avocado Toast - add egg</v>
      </c>
      <c r="I12" t="n">
        <f>'Food'!B19</f>
        <v>2.99</v>
      </c>
      <c r="J12" t="n">
        <f>'Food'!C19</f>
        <v>0</v>
      </c>
      <c r="K12" t="n">
        <f>'Food'!D19</f>
        <v>0</v>
      </c>
      <c r="L12" t="n">
        <f>IF(AND(ISNUMBER(J12),J12&gt;0),COUNTIFS($J$2:J12,"&gt;0"),0)</f>
        <v>0</v>
      </c>
    </row>
    <row r="13" ht="28" customHeight="1">
      <c r="A13" s="2"/>
      <c r="B13" s="2"/>
      <c r="C13" s="2"/>
      <c r="D13" s="12"/>
      <c r="H13" t="str">
        <v>Avocado Toast - add bacon</v>
      </c>
      <c r="I13" t="n">
        <f>'Food'!B20</f>
        <v>3.99</v>
      </c>
      <c r="J13" t="n">
        <f>'Food'!C20</f>
        <v>0</v>
      </c>
      <c r="K13" t="n">
        <f>'Food'!D20</f>
        <v>0</v>
      </c>
      <c r="L13" t="n">
        <f>IF(AND(ISNUMBER(J13),J13&gt;0),COUNTIFS($J$2:J13,"&gt;0"),0)</f>
        <v>0</v>
      </c>
    </row>
    <row r="14" ht="38" customHeight="1">
      <c r="A14" s="17" t="str">
        <v>MENU ESTIMATE</v>
      </c>
      <c r="B14" s="17"/>
      <c r="C14" s="17"/>
      <c r="D14" s="18" t="n">
        <f>IF(COUNT(D11:D12)=2,SUM(D11:D12),"Check qty")</f>
        <v>0</v>
      </c>
      <c r="H14" t="str">
        <v>Kids Breakfast</v>
      </c>
      <c r="I14" t="n">
        <f>'Food'!B23</f>
        <v>7.99</v>
      </c>
      <c r="J14" t="n">
        <f>'Food'!C23</f>
        <v>0</v>
      </c>
      <c r="K14" t="n">
        <f>'Food'!D23</f>
        <v>0</v>
      </c>
      <c r="L14" t="n">
        <f>IF(AND(ISNUMBER(J14),J14&gt;0),COUNTIFS($J$2:J14,"&gt;0"),0)</f>
        <v>0</v>
      </c>
    </row>
    <row r="15" ht="28" customHeight="1">
      <c r="A15" s="2"/>
      <c r="B15" s="2"/>
      <c r="C15" s="2"/>
      <c r="D15" s="2"/>
      <c r="H15" t="str">
        <v>Cheese Quesadilla</v>
      </c>
      <c r="I15" t="n">
        <f>'Food'!B24</f>
        <v>9.99</v>
      </c>
      <c r="J15" t="n">
        <f>'Food'!C24</f>
        <v>0</v>
      </c>
      <c r="K15" t="n">
        <f>'Food'!D24</f>
        <v>0</v>
      </c>
      <c r="L15" t="n">
        <f>IF(AND(ISNUMBER(J15),J15&gt;0),COUNTIFS($J$2:J15,"&gt;0"),0)</f>
        <v>0</v>
      </c>
    </row>
    <row r="16" ht="28" customHeight="1">
      <c r="A16" s="2" t="str">
        <v>Sales tax</v>
      </c>
      <c r="B16" s="2"/>
      <c r="C16" s="2"/>
      <c r="D16" s="2" t="str">
        <v>Extra</v>
      </c>
      <c r="H16" t="str">
        <v>The Silos Wings</v>
      </c>
      <c r="I16" t="n">
        <f>'Food'!B27</f>
        <v>14.99</v>
      </c>
      <c r="J16" t="n">
        <f>'Food'!C27</f>
        <v>0</v>
      </c>
      <c r="K16" t="n">
        <f>'Food'!D27</f>
        <v>0</v>
      </c>
      <c r="L16" t="n">
        <f>IF(AND(ISNUMBER(J16),J16&gt;0),COUNTIFS($J$2:J16,"&gt;0"),0)</f>
        <v>0</v>
      </c>
    </row>
    <row r="17" ht="28" customHeight="1">
      <c r="A17" s="2" t="str">
        <v>Event / space fee</v>
      </c>
      <c r="B17" s="2"/>
      <c r="C17" s="2"/>
      <c r="D17" s="2" t="str">
        <v>By quote</v>
      </c>
      <c r="H17" t="str">
        <v>Taco - asada or chicken; corn, flour or lettuce wrap (each)</v>
      </c>
      <c r="I17" t="n">
        <f>'Food'!B28</f>
        <v>4.99</v>
      </c>
      <c r="J17" t="n">
        <f>'Food'!C28</f>
        <v>0</v>
      </c>
      <c r="K17" t="n">
        <f>'Food'!D28</f>
        <v>0</v>
      </c>
      <c r="L17" t="n">
        <f>IF(AND(ISNUMBER(J17),J17&gt;0),COUNTIFS($J$2:J17,"&gt;0"),0)</f>
        <v>0</v>
      </c>
    </row>
    <row r="18" ht="28" customHeight="1">
      <c r="A18" s="2" t="str">
        <v>Premium bottle requests</v>
      </c>
      <c r="B18" s="2"/>
      <c r="C18" s="2"/>
      <c r="D18" s="2" t="str">
        <v>By quote</v>
      </c>
      <c r="H18" t="str">
        <v>Fajita Quesadilla - chicken or beef</v>
      </c>
      <c r="I18" t="n">
        <f>'Food'!B29</f>
        <v>13.99</v>
      </c>
      <c r="J18" t="n">
        <f>'Food'!C29</f>
        <v>0</v>
      </c>
      <c r="K18" t="n">
        <f>'Food'!D29</f>
        <v>0</v>
      </c>
      <c r="L18" t="n">
        <f>IF(AND(ISNUMBER(J18),J18&gt;0),COUNTIFS($J$2:J18,"&gt;0"),0)</f>
        <v>0</v>
      </c>
    </row>
    <row r="19" ht="28" customHeight="1">
      <c r="A19" s="2"/>
      <c r="B19" s="2"/>
      <c r="C19" s="2"/>
      <c r="D19" s="2"/>
      <c r="H19" t="str">
        <v>Nachos</v>
      </c>
      <c r="I19" t="n">
        <f>'Food'!B30</f>
        <v>12.99</v>
      </c>
      <c r="J19" t="n">
        <f>'Food'!C30</f>
        <v>0</v>
      </c>
      <c r="K19" t="n">
        <f>'Food'!D30</f>
        <v>0</v>
      </c>
      <c r="L19" t="n">
        <f>IF(AND(ISNUMBER(J19),J19&gt;0),COUNTIFS($J$2:J19,"&gt;0"),0)</f>
        <v>0</v>
      </c>
    </row>
    <row r="20" ht="28" customHeight="1">
      <c r="A20" s="5" t="str">
        <v>Your selected items</v>
      </c>
      <c r="B20" s="5"/>
      <c r="C20" s="5"/>
      <c r="D20" s="5"/>
      <c r="H20" t="str">
        <v>Nacho Fries</v>
      </c>
      <c r="I20" t="n">
        <f>'Food'!B31</f>
        <v>11.99</v>
      </c>
      <c r="J20" t="n">
        <f>'Food'!C31</f>
        <v>0</v>
      </c>
      <c r="K20" t="n">
        <f>'Food'!D31</f>
        <v>0</v>
      </c>
      <c r="L20" t="n">
        <f>IF(AND(ISNUMBER(J20),J20&gt;0),COUNTIFS($J$2:J20,"&gt;0"),0)</f>
        <v>0</v>
      </c>
    </row>
    <row r="21" ht="28" customHeight="1">
      <c r="A21" s="5" t="str">
        <v>Item</v>
      </c>
      <c r="B21" s="5" t="str">
        <v>Price</v>
      </c>
      <c r="C21" s="5" t="str">
        <v>Qty</v>
      </c>
      <c r="D21" s="5" t="str">
        <v>Total</v>
      </c>
      <c r="H21" t="str">
        <v>Guacamole &amp; Chicharron</v>
      </c>
      <c r="I21" t="n">
        <f>'Food'!B32</f>
        <v>14.99</v>
      </c>
      <c r="J21" t="n">
        <f>'Food'!C32</f>
        <v>0</v>
      </c>
      <c r="K21" t="n">
        <f>'Food'!D32</f>
        <v>0</v>
      </c>
      <c r="L21" t="n">
        <f>IF(AND(ISNUMBER(J21),J21&gt;0),COUNTIFS($J$2:J21,"&gt;0"),0)</f>
        <v>0</v>
      </c>
    </row>
    <row r="22" ht="40" customHeight="1">
      <c r="A22" s="4" t="str">
        <f>IF(1&gt;COUNTIFS($J$2:$J$128,"&gt;0"),"",INDEX($H$2:$H$128,MATCH(1,$L$2:$L$128,0)))</f>
      </c>
      <c r="B22" s="12" t="str">
        <f>IF(1&gt;COUNTIFS($J$2:$J$128,"&gt;0"),"",INDEX($I$2:$I$128,MATCH(1,$L$2:$L$128,0)))</f>
      </c>
      <c r="C22" s="2" t="str">
        <f>IF(1&gt;COUNTIFS($J$2:$J$128,"&gt;0"),"",INDEX($J$2:$J$128,MATCH(1,$L$2:$L$128,0)))</f>
      </c>
      <c r="D22" s="12" t="str">
        <f>IF(1&gt;COUNTIFS($J$2:$J$128,"&gt;0"),"",INDEX($K$2:$K$128,MATCH(1,$L$2:$L$128,0)))</f>
      </c>
      <c r="H22" t="str">
        <v>Add asada/chicken to nachos or nacho fries</v>
      </c>
      <c r="I22" t="n">
        <f>'Food'!B33</f>
        <v>3.99</v>
      </c>
      <c r="J22" t="n">
        <f>'Food'!C33</f>
        <v>0</v>
      </c>
      <c r="K22" t="n">
        <f>'Food'!D33</f>
        <v>0</v>
      </c>
      <c r="L22" t="n">
        <f>IF(AND(ISNUMBER(J22),J22&gt;0),COUNTIFS($J$2:J22,"&gt;0"),0)</f>
        <v>0</v>
      </c>
    </row>
    <row r="23" ht="40" customHeight="1">
      <c r="A23" s="4" t="str">
        <f>IF(2&gt;COUNTIFS($J$2:$J$128,"&gt;0"),"",INDEX($H$2:$H$128,MATCH(2,$L$2:$L$128,0)))</f>
      </c>
      <c r="B23" s="12" t="str">
        <f>IF(2&gt;COUNTIFS($J$2:$J$128,"&gt;0"),"",INDEX($I$2:$I$128,MATCH(2,$L$2:$L$128,0)))</f>
      </c>
      <c r="C23" s="2" t="str">
        <f>IF(2&gt;COUNTIFS($J$2:$J$128,"&gt;0"),"",INDEX($J$2:$J$128,MATCH(2,$L$2:$L$128,0)))</f>
      </c>
      <c r="D23" s="12" t="str">
        <f>IF(2&gt;COUNTIFS($J$2:$J$128,"&gt;0"),"",INDEX($K$2:$K$128,MATCH(2,$L$2:$L$128,0)))</f>
      </c>
      <c r="H23" t="str">
        <v>Blackened Salmon - 7 oz</v>
      </c>
      <c r="I23" t="n">
        <f>'Food'!B36</f>
        <v>27.99</v>
      </c>
      <c r="J23" t="n">
        <f>'Food'!C36</f>
        <v>0</v>
      </c>
      <c r="K23" t="n">
        <f>'Food'!D36</f>
        <v>0</v>
      </c>
      <c r="L23" t="n">
        <f>IF(AND(ISNUMBER(J23),J23&gt;0),COUNTIFS($J$2:J23,"&gt;0"),0)</f>
        <v>0</v>
      </c>
    </row>
    <row r="24" ht="40" customHeight="1">
      <c r="A24" s="4" t="str">
        <f>IF(3&gt;COUNTIFS($J$2:$J$128,"&gt;0"),"",INDEX($H$2:$H$128,MATCH(3,$L$2:$L$128,0)))</f>
      </c>
      <c r="B24" s="12" t="str">
        <f>IF(3&gt;COUNTIFS($J$2:$J$128,"&gt;0"),"",INDEX($I$2:$I$128,MATCH(3,$L$2:$L$128,0)))</f>
      </c>
      <c r="C24" s="2" t="str">
        <f>IF(3&gt;COUNTIFS($J$2:$J$128,"&gt;0"),"",INDEX($J$2:$J$128,MATCH(3,$L$2:$L$128,0)))</f>
      </c>
      <c r="D24" s="12" t="str">
        <f>IF(3&gt;COUNTIFS($J$2:$J$128,"&gt;0"),"",INDEX($K$2:$K$128,MATCH(3,$L$2:$L$128,0)))</f>
      </c>
      <c r="H24" t="str">
        <v>Chicken Piccata</v>
      </c>
      <c r="I24" t="n">
        <f>'Food'!B37</f>
        <v>26.99</v>
      </c>
      <c r="J24" t="n">
        <f>'Food'!C37</f>
        <v>0</v>
      </c>
      <c r="K24" t="n">
        <f>'Food'!D37</f>
        <v>0</v>
      </c>
      <c r="L24" t="n">
        <f>IF(AND(ISNUMBER(J24),J24&gt;0),COUNTIFS($J$2:J24,"&gt;0"),0)</f>
        <v>0</v>
      </c>
    </row>
    <row r="25" ht="40" customHeight="1">
      <c r="A25" s="4" t="str">
        <f>IF(4&gt;COUNTIFS($J$2:$J$128,"&gt;0"),"",INDEX($H$2:$H$128,MATCH(4,$L$2:$L$128,0)))</f>
      </c>
      <c r="B25" s="12" t="str">
        <f>IF(4&gt;COUNTIFS($J$2:$J$128,"&gt;0"),"",INDEX($I$2:$I$128,MATCH(4,$L$2:$L$128,0)))</f>
      </c>
      <c r="C25" s="2" t="str">
        <f>IF(4&gt;COUNTIFS($J$2:$J$128,"&gt;0"),"",INDEX($J$2:$J$128,MATCH(4,$L$2:$L$128,0)))</f>
      </c>
      <c r="D25" s="12" t="str">
        <f>IF(4&gt;COUNTIFS($J$2:$J$128,"&gt;0"),"",INDEX($K$2:$K$128,MATCH(4,$L$2:$L$128,0)))</f>
      </c>
      <c r="H25" t="str">
        <v>Filet Mignon - 8 oz</v>
      </c>
      <c r="I25" t="n">
        <f>'Food'!B38</f>
        <v>54.99</v>
      </c>
      <c r="J25" t="n">
        <f>'Food'!C38</f>
        <v>0</v>
      </c>
      <c r="K25" t="n">
        <f>'Food'!D38</f>
        <v>0</v>
      </c>
      <c r="L25" t="n">
        <f>IF(AND(ISNUMBER(J25),J25&gt;0),COUNTIFS($J$2:J25,"&gt;0"),0)</f>
        <v>0</v>
      </c>
    </row>
    <row r="26" ht="40" customHeight="1">
      <c r="A26" s="4" t="str">
        <f>IF(5&gt;COUNTIFS($J$2:$J$128,"&gt;0"),"",INDEX($H$2:$H$128,MATCH(5,$L$2:$L$128,0)))</f>
      </c>
      <c r="B26" s="12" t="str">
        <f>IF(5&gt;COUNTIFS($J$2:$J$128,"&gt;0"),"",INDEX($I$2:$I$128,MATCH(5,$L$2:$L$128,0)))</f>
      </c>
      <c r="C26" s="2" t="str">
        <f>IF(5&gt;COUNTIFS($J$2:$J$128,"&gt;0"),"",INDEX($J$2:$J$128,MATCH(5,$L$2:$L$128,0)))</f>
      </c>
      <c r="D26" s="12" t="str">
        <f>IF(5&gt;COUNTIFS($J$2:$J$128,"&gt;0"),"",INDEX($K$2:$K$128,MATCH(5,$L$2:$L$128,0)))</f>
      </c>
      <c r="H26" t="str">
        <v>Ribeye Steak - 12 oz</v>
      </c>
      <c r="I26" t="n">
        <f>'Food'!B39</f>
        <v>49.99</v>
      </c>
      <c r="J26" t="n">
        <f>'Food'!C39</f>
        <v>0</v>
      </c>
      <c r="K26" t="n">
        <f>'Food'!D39</f>
        <v>0</v>
      </c>
      <c r="L26" t="n">
        <f>IF(AND(ISNUMBER(J26),J26&gt;0),COUNTIFS($J$2:J26,"&gt;0"),0)</f>
        <v>0</v>
      </c>
    </row>
    <row r="27" ht="40" customHeight="1">
      <c r="A27" s="4" t="str">
        <f>IF(6&gt;COUNTIFS($J$2:$J$128,"&gt;0"),"",INDEX($H$2:$H$128,MATCH(6,$L$2:$L$128,0)))</f>
      </c>
      <c r="B27" s="12" t="str">
        <f>IF(6&gt;COUNTIFS($J$2:$J$128,"&gt;0"),"",INDEX($I$2:$I$128,MATCH(6,$L$2:$L$128,0)))</f>
      </c>
      <c r="C27" s="2" t="str">
        <f>IF(6&gt;COUNTIFS($J$2:$J$128,"&gt;0"),"",INDEX($J$2:$J$128,MATCH(6,$L$2:$L$128,0)))</f>
      </c>
      <c r="D27" s="12" t="str">
        <f>IF(6&gt;COUNTIFS($J$2:$J$128,"&gt;0"),"",INDEX($K$2:$K$128,MATCH(6,$L$2:$L$128,0)))</f>
      </c>
      <c r="H27" t="str">
        <v>Surf &amp; Turf</v>
      </c>
      <c r="I27" t="n">
        <f>'Food'!B40</f>
        <v>64.99</v>
      </c>
      <c r="J27" t="n">
        <f>'Food'!C40</f>
        <v>0</v>
      </c>
      <c r="K27" t="n">
        <f>'Food'!D40</f>
        <v>0</v>
      </c>
      <c r="L27" t="n">
        <f>IF(AND(ISNUMBER(J27),J27&gt;0),COUNTIFS($J$2:J27,"&gt;0"),0)</f>
        <v>0</v>
      </c>
    </row>
    <row r="28" ht="40" customHeight="1">
      <c r="A28" s="4" t="str">
        <f>IF(7&gt;COUNTIFS($J$2:$J$128,"&gt;0"),"",INDEX($H$2:$H$128,MATCH(7,$L$2:$L$128,0)))</f>
      </c>
      <c r="B28" s="12" t="str">
        <f>IF(7&gt;COUNTIFS($J$2:$J$128,"&gt;0"),"",INDEX($I$2:$I$128,MATCH(7,$L$2:$L$128,0)))</f>
      </c>
      <c r="C28" s="2" t="str">
        <f>IF(7&gt;COUNTIFS($J$2:$J$128,"&gt;0"),"",INDEX($J$2:$J$128,MATCH(7,$L$2:$L$128,0)))</f>
      </c>
      <c r="D28" s="12" t="str">
        <f>IF(7&gt;COUNTIFS($J$2:$J$128,"&gt;0"),"",INDEX($K$2:$K$128,MATCH(7,$L$2:$L$128,0)))</f>
      </c>
      <c r="H28" t="str">
        <v>The Silos Burger</v>
      </c>
      <c r="I28" t="n">
        <f>'Food'!B43</f>
        <v>15.99</v>
      </c>
      <c r="J28" t="n">
        <f>'Food'!C43</f>
        <v>0</v>
      </c>
      <c r="K28" t="n">
        <f>'Food'!D43</f>
        <v>0</v>
      </c>
      <c r="L28" t="n">
        <f>IF(AND(ISNUMBER(J28),J28&gt;0),COUNTIFS($J$2:J28,"&gt;0"),0)</f>
        <v>0</v>
      </c>
    </row>
    <row r="29" ht="40" customHeight="1">
      <c r="A29" s="4" t="str">
        <f>IF(8&gt;COUNTIFS($J$2:$J$128,"&gt;0"),"",INDEX($H$2:$H$128,MATCH(8,$L$2:$L$128,0)))</f>
      </c>
      <c r="B29" s="12" t="str">
        <f>IF(8&gt;COUNTIFS($J$2:$J$128,"&gt;0"),"",INDEX($I$2:$I$128,MATCH(8,$L$2:$L$128,0)))</f>
      </c>
      <c r="C29" s="2" t="str">
        <f>IF(8&gt;COUNTIFS($J$2:$J$128,"&gt;0"),"",INDEX($J$2:$J$128,MATCH(8,$L$2:$L$128,0)))</f>
      </c>
      <c r="D29" s="12" t="str">
        <f>IF(8&gt;COUNTIFS($J$2:$J$128,"&gt;0"),"",INDEX($K$2:$K$128,MATCH(8,$L$2:$L$128,0)))</f>
      </c>
      <c r="H29" t="str">
        <v>Spicy Chicken Sandwich</v>
      </c>
      <c r="I29" t="n">
        <f>'Food'!B44</f>
        <v>15.99</v>
      </c>
      <c r="J29" t="n">
        <f>'Food'!C44</f>
        <v>0</v>
      </c>
      <c r="K29" t="n">
        <f>'Food'!D44</f>
        <v>0</v>
      </c>
      <c r="L29" t="n">
        <f>IF(AND(ISNUMBER(J29),J29&gt;0),COUNTIFS($J$2:J29,"&gt;0"),0)</f>
        <v>0</v>
      </c>
    </row>
    <row r="30" ht="40" customHeight="1">
      <c r="A30" s="4" t="str">
        <f>IF(9&gt;COUNTIFS($J$2:$J$128,"&gt;0"),"",INDEX($H$2:$H$128,MATCH(9,$L$2:$L$128,0)))</f>
      </c>
      <c r="B30" s="12" t="str">
        <f>IF(9&gt;COUNTIFS($J$2:$J$128,"&gt;0"),"",INDEX($I$2:$I$128,MATCH(9,$L$2:$L$128,0)))</f>
      </c>
      <c r="C30" s="2" t="str">
        <f>IF(9&gt;COUNTIFS($J$2:$J$128,"&gt;0"),"",INDEX($J$2:$J$128,MATCH(9,$L$2:$L$128,0)))</f>
      </c>
      <c r="D30" s="12" t="str">
        <f>IF(9&gt;COUNTIFS($J$2:$J$128,"&gt;0"),"",INDEX($K$2:$K$128,MATCH(9,$L$2:$L$128,0)))</f>
      </c>
      <c r="H30" t="str">
        <v>Club Sandwich</v>
      </c>
      <c r="I30" t="n">
        <f>'Food'!B45</f>
        <v>15.99</v>
      </c>
      <c r="J30" t="n">
        <f>'Food'!C45</f>
        <v>0</v>
      </c>
      <c r="K30" t="n">
        <f>'Food'!D45</f>
        <v>0</v>
      </c>
      <c r="L30" t="n">
        <f>IF(AND(ISNUMBER(J30),J30&gt;0),COUNTIFS($J$2:J30,"&gt;0"),0)</f>
        <v>0</v>
      </c>
    </row>
    <row r="31" ht="40" customHeight="1">
      <c r="A31" s="4" t="str">
        <f>IF(10&gt;COUNTIFS($J$2:$J$128,"&gt;0"),"",INDEX($H$2:$H$128,MATCH(10,$L$2:$L$128,0)))</f>
      </c>
      <c r="B31" s="12" t="str">
        <f>IF(10&gt;COUNTIFS($J$2:$J$128,"&gt;0"),"",INDEX($I$2:$I$128,MATCH(10,$L$2:$L$128,0)))</f>
      </c>
      <c r="C31" s="2" t="str">
        <f>IF(10&gt;COUNTIFS($J$2:$J$128,"&gt;0"),"",INDEX($J$2:$J$128,MATCH(10,$L$2:$L$128,0)))</f>
      </c>
      <c r="D31" s="12" t="str">
        <f>IF(10&gt;COUNTIFS($J$2:$J$128,"&gt;0"),"",INDEX($K$2:$K$128,MATCH(10,$L$2:$L$128,0)))</f>
      </c>
      <c r="H31" t="str">
        <v>House Salad</v>
      </c>
      <c r="I31" t="n">
        <f>'Food'!B48</f>
        <v>13.99</v>
      </c>
      <c r="J31" t="n">
        <f>'Food'!C48</f>
        <v>0</v>
      </c>
      <c r="K31" t="n">
        <f>'Food'!D48</f>
        <v>0</v>
      </c>
      <c r="L31" t="n">
        <f>IF(AND(ISNUMBER(J31),J31&gt;0),COUNTIFS($J$2:J31,"&gt;0"),0)</f>
        <v>0</v>
      </c>
    </row>
    <row r="32" ht="40" customHeight="1">
      <c r="A32" s="4" t="str">
        <f>IF(11&gt;COUNTIFS($J$2:$J$128,"&gt;0"),"",INDEX($H$2:$H$128,MATCH(11,$L$2:$L$128,0)))</f>
      </c>
      <c r="B32" s="12" t="str">
        <f>IF(11&gt;COUNTIFS($J$2:$J$128,"&gt;0"),"",INDEX($I$2:$I$128,MATCH(11,$L$2:$L$128,0)))</f>
      </c>
      <c r="C32" s="2" t="str">
        <f>IF(11&gt;COUNTIFS($J$2:$J$128,"&gt;0"),"",INDEX($J$2:$J$128,MATCH(11,$L$2:$L$128,0)))</f>
      </c>
      <c r="D32" s="12" t="str">
        <f>IF(11&gt;COUNTIFS($J$2:$J$128,"&gt;0"),"",INDEX($K$2:$K$128,MATCH(11,$L$2:$L$128,0)))</f>
      </c>
      <c r="H32" t="str">
        <v>House Salad - add chicken</v>
      </c>
      <c r="I32" t="n">
        <f>'Food'!B49</f>
        <v>4.99</v>
      </c>
      <c r="J32" t="n">
        <f>'Food'!C49</f>
        <v>0</v>
      </c>
      <c r="K32" t="n">
        <f>'Food'!D49</f>
        <v>0</v>
      </c>
      <c r="L32" t="n">
        <f>IF(AND(ISNUMBER(J32),J32&gt;0),COUNTIFS($J$2:J32,"&gt;0"),0)</f>
        <v>0</v>
      </c>
    </row>
    <row r="33" ht="40" customHeight="1">
      <c r="A33" s="4" t="str">
        <f>IF(12&gt;COUNTIFS($J$2:$J$128,"&gt;0"),"",INDEX($H$2:$H$128,MATCH(12,$L$2:$L$128,0)))</f>
      </c>
      <c r="B33" s="12" t="str">
        <f>IF(12&gt;COUNTIFS($J$2:$J$128,"&gt;0"),"",INDEX($I$2:$I$128,MATCH(12,$L$2:$L$128,0)))</f>
      </c>
      <c r="C33" s="2" t="str">
        <f>IF(12&gt;COUNTIFS($J$2:$J$128,"&gt;0"),"",INDEX($J$2:$J$128,MATCH(12,$L$2:$L$128,0)))</f>
      </c>
      <c r="D33" s="12" t="str">
        <f>IF(12&gt;COUNTIFS($J$2:$J$128,"&gt;0"),"",INDEX($K$2:$K$128,MATCH(12,$L$2:$L$128,0)))</f>
      </c>
      <c r="H33" t="str">
        <v>Caesar Salad</v>
      </c>
      <c r="I33" t="n">
        <f>'Food'!B50</f>
        <v>15.99</v>
      </c>
      <c r="J33" t="n">
        <f>'Food'!C50</f>
        <v>0</v>
      </c>
      <c r="K33" t="n">
        <f>'Food'!D50</f>
        <v>0</v>
      </c>
      <c r="L33" t="n">
        <f>IF(AND(ISNUMBER(J33),J33&gt;0),COUNTIFS($J$2:J33,"&gt;0"),0)</f>
        <v>0</v>
      </c>
    </row>
    <row r="34" ht="40" customHeight="1">
      <c r="A34" s="4" t="str">
        <f>IF(13&gt;COUNTIFS($J$2:$J$128,"&gt;0"),"",INDEX($H$2:$H$128,MATCH(13,$L$2:$L$128,0)))</f>
      </c>
      <c r="B34" s="12" t="str">
        <f>IF(13&gt;COUNTIFS($J$2:$J$128,"&gt;0"),"",INDEX($I$2:$I$128,MATCH(13,$L$2:$L$128,0)))</f>
      </c>
      <c r="C34" s="2" t="str">
        <f>IF(13&gt;COUNTIFS($J$2:$J$128,"&gt;0"),"",INDEX($J$2:$J$128,MATCH(13,$L$2:$L$128,0)))</f>
      </c>
      <c r="D34" s="12" t="str">
        <f>IF(13&gt;COUNTIFS($J$2:$J$128,"&gt;0"),"",INDEX($K$2:$K$128,MATCH(13,$L$2:$L$128,0)))</f>
      </c>
      <c r="H34" t="str">
        <v>Fries</v>
      </c>
      <c r="I34" t="n">
        <f>'Food'!B53</f>
        <v>6.99</v>
      </c>
      <c r="J34" t="n">
        <f>'Food'!C53</f>
        <v>0</v>
      </c>
      <c r="K34" t="n">
        <f>'Food'!D53</f>
        <v>0</v>
      </c>
      <c r="L34" t="n">
        <f>IF(AND(ISNUMBER(J34),J34&gt;0),COUNTIFS($J$2:J34,"&gt;0"),0)</f>
        <v>0</v>
      </c>
    </row>
    <row r="35" ht="40" customHeight="1">
      <c r="A35" s="4" t="str">
        <f>IF(14&gt;COUNTIFS($J$2:$J$128,"&gt;0"),"",INDEX($H$2:$H$128,MATCH(14,$L$2:$L$128,0)))</f>
      </c>
      <c r="B35" s="12" t="str">
        <f>IF(14&gt;COUNTIFS($J$2:$J$128,"&gt;0"),"",INDEX($I$2:$I$128,MATCH(14,$L$2:$L$128,0)))</f>
      </c>
      <c r="C35" s="2" t="str">
        <f>IF(14&gt;COUNTIFS($J$2:$J$128,"&gt;0"),"",INDEX($J$2:$J$128,MATCH(14,$L$2:$L$128,0)))</f>
      </c>
      <c r="D35" s="12" t="str">
        <f>IF(14&gt;COUNTIFS($J$2:$J$128,"&gt;0"),"",INDEX($K$2:$K$128,MATCH(14,$L$2:$L$128,0)))</f>
      </c>
      <c r="H35" t="str">
        <v>Onion Rings</v>
      </c>
      <c r="I35" t="n">
        <f>'Food'!B54</f>
        <v>9.99</v>
      </c>
      <c r="J35" t="n">
        <f>'Food'!C54</f>
        <v>0</v>
      </c>
      <c r="K35" t="n">
        <f>'Food'!D54</f>
        <v>0</v>
      </c>
      <c r="L35" t="n">
        <f>IF(AND(ISNUMBER(J35),J35&gt;0),COUNTIFS($J$2:J35,"&gt;0"),0)</f>
        <v>0</v>
      </c>
    </row>
    <row r="36" ht="40" customHeight="1">
      <c r="A36" s="4" t="str">
        <f>IF(15&gt;COUNTIFS($J$2:$J$128,"&gt;0"),"",INDEX($H$2:$H$128,MATCH(15,$L$2:$L$128,0)))</f>
      </c>
      <c r="B36" s="12" t="str">
        <f>IF(15&gt;COUNTIFS($J$2:$J$128,"&gt;0"),"",INDEX($I$2:$I$128,MATCH(15,$L$2:$L$128,0)))</f>
      </c>
      <c r="C36" s="2" t="str">
        <f>IF(15&gt;COUNTIFS($J$2:$J$128,"&gt;0"),"",INDEX($J$2:$J$128,MATCH(15,$L$2:$L$128,0)))</f>
      </c>
      <c r="D36" s="12" t="str">
        <f>IF(15&gt;COUNTIFS($J$2:$J$128,"&gt;0"),"",INDEX($K$2:$K$128,MATCH(15,$L$2:$L$128,0)))</f>
      </c>
      <c r="H36" t="str">
        <v>Garlic Mashed Potatoes</v>
      </c>
      <c r="I36" t="n">
        <f>'Food'!B55</f>
        <v>12.99</v>
      </c>
      <c r="J36" t="n">
        <f>'Food'!C55</f>
        <v>0</v>
      </c>
      <c r="K36" t="n">
        <f>'Food'!D55</f>
        <v>0</v>
      </c>
      <c r="L36" t="n">
        <f>IF(AND(ISNUMBER(J36),J36&gt;0),COUNTIFS($J$2:J36,"&gt;0"),0)</f>
        <v>0</v>
      </c>
    </row>
    <row r="37" ht="40" customHeight="1">
      <c r="A37" s="4" t="str">
        <f>IF(16&gt;COUNTIFS($J$2:$J$128,"&gt;0"),"",INDEX($H$2:$H$128,MATCH(16,$L$2:$L$128,0)))</f>
      </c>
      <c r="B37" s="12" t="str">
        <f>IF(16&gt;COUNTIFS($J$2:$J$128,"&gt;0"),"",INDEX($I$2:$I$128,MATCH(16,$L$2:$L$128,0)))</f>
      </c>
      <c r="C37" s="2" t="str">
        <f>IF(16&gt;COUNTIFS($J$2:$J$128,"&gt;0"),"",INDEX($J$2:$J$128,MATCH(16,$L$2:$L$128,0)))</f>
      </c>
      <c r="D37" s="12" t="str">
        <f>IF(16&gt;COUNTIFS($J$2:$J$128,"&gt;0"),"",INDEX($K$2:$K$128,MATCH(16,$L$2:$L$128,0)))</f>
      </c>
      <c r="H37" t="str">
        <v>Asparagus</v>
      </c>
      <c r="I37" t="n">
        <f>'Food'!B56</f>
        <v>12.99</v>
      </c>
      <c r="J37" t="n">
        <f>'Food'!C56</f>
        <v>0</v>
      </c>
      <c r="K37" t="n">
        <f>'Food'!D56</f>
        <v>0</v>
      </c>
      <c r="L37" t="n">
        <f>IF(AND(ISNUMBER(J37),J37&gt;0),COUNTIFS($J$2:J37,"&gt;0"),0)</f>
        <v>0</v>
      </c>
    </row>
    <row r="38" ht="40" customHeight="1">
      <c r="A38" s="4" t="str">
        <f>IF(17&gt;COUNTIFS($J$2:$J$128,"&gt;0"),"",INDEX($H$2:$H$128,MATCH(17,$L$2:$L$128,0)))</f>
      </c>
      <c r="B38" s="12" t="str">
        <f>IF(17&gt;COUNTIFS($J$2:$J$128,"&gt;0"),"",INDEX($I$2:$I$128,MATCH(17,$L$2:$L$128,0)))</f>
      </c>
      <c r="C38" s="2" t="str">
        <f>IF(17&gt;COUNTIFS($J$2:$J$128,"&gt;0"),"",INDEX($J$2:$J$128,MATCH(17,$L$2:$L$128,0)))</f>
      </c>
      <c r="D38" s="12" t="str">
        <f>IF(17&gt;COUNTIFS($J$2:$J$128,"&gt;0"),"",INDEX($K$2:$K$128,MATCH(17,$L$2:$L$128,0)))</f>
      </c>
      <c r="H38" t="str">
        <v>Brussels Sprouts</v>
      </c>
      <c r="I38" t="n">
        <f>'Food'!B57</f>
        <v>12.99</v>
      </c>
      <c r="J38" t="n">
        <f>'Food'!C57</f>
        <v>0</v>
      </c>
      <c r="K38" t="n">
        <f>'Food'!D57</f>
        <v>0</v>
      </c>
      <c r="L38" t="n">
        <f>IF(AND(ISNUMBER(J38),J38&gt;0),COUNTIFS($J$2:J38,"&gt;0"),0)</f>
        <v>0</v>
      </c>
    </row>
    <row r="39" ht="40" customHeight="1">
      <c r="A39" s="4" t="str">
        <f>IF(18&gt;COUNTIFS($J$2:$J$128,"&gt;0"),"",INDEX($H$2:$H$128,MATCH(18,$L$2:$L$128,0)))</f>
      </c>
      <c r="B39" s="12" t="str">
        <f>IF(18&gt;COUNTIFS($J$2:$J$128,"&gt;0"),"",INDEX($I$2:$I$128,MATCH(18,$L$2:$L$128,0)))</f>
      </c>
      <c r="C39" s="2" t="str">
        <f>IF(18&gt;COUNTIFS($J$2:$J$128,"&gt;0"),"",INDEX($J$2:$J$128,MATCH(18,$L$2:$L$128,0)))</f>
      </c>
      <c r="D39" s="12" t="str">
        <f>IF(18&gt;COUNTIFS($J$2:$J$128,"&gt;0"),"",INDEX($K$2:$K$128,MATCH(18,$L$2:$L$128,0)))</f>
      </c>
      <c r="H39" t="str">
        <v>Tres Leches</v>
      </c>
      <c r="I39" t="n">
        <f>'Food'!B60</f>
        <v>12.99</v>
      </c>
      <c r="J39" t="n">
        <f>'Food'!C60</f>
        <v>0</v>
      </c>
      <c r="K39" t="n">
        <f>'Food'!D60</f>
        <v>0</v>
      </c>
      <c r="L39" t="n">
        <f>IF(AND(ISNUMBER(J39),J39&gt;0),COUNTIFS($J$2:J39,"&gt;0"),0)</f>
        <v>0</v>
      </c>
    </row>
    <row r="40" ht="40" customHeight="1">
      <c r="A40" s="4" t="str">
        <f>IF(19&gt;COUNTIFS($J$2:$J$128,"&gt;0"),"",INDEX($H$2:$H$128,MATCH(19,$L$2:$L$128,0)))</f>
      </c>
      <c r="B40" s="12" t="str">
        <f>IF(19&gt;COUNTIFS($J$2:$J$128,"&gt;0"),"",INDEX($I$2:$I$128,MATCH(19,$L$2:$L$128,0)))</f>
      </c>
      <c r="C40" s="2" t="str">
        <f>IF(19&gt;COUNTIFS($J$2:$J$128,"&gt;0"),"",INDEX($J$2:$J$128,MATCH(19,$L$2:$L$128,0)))</f>
      </c>
      <c r="D40" s="12" t="str">
        <f>IF(19&gt;COUNTIFS($J$2:$J$128,"&gt;0"),"",INDEX($K$2:$K$128,MATCH(19,$L$2:$L$128,0)))</f>
      </c>
      <c r="H40" t="str">
        <v>Five-Layer Chocolate Cake</v>
      </c>
      <c r="I40" t="n">
        <f>'Food'!B61</f>
        <v>14.99</v>
      </c>
      <c r="J40" t="n">
        <f>'Food'!C61</f>
        <v>0</v>
      </c>
      <c r="K40" t="n">
        <f>'Food'!D61</f>
        <v>0</v>
      </c>
      <c r="L40" t="n">
        <f>IF(AND(ISNUMBER(J40),J40&gt;0),COUNTIFS($J$2:J40,"&gt;0"),0)</f>
        <v>0</v>
      </c>
    </row>
    <row r="41" ht="40" customHeight="1">
      <c r="A41" s="4" t="str">
        <f>IF(20&gt;COUNTIFS($J$2:$J$128,"&gt;0"),"",INDEX($H$2:$H$128,MATCH(20,$L$2:$L$128,0)))</f>
      </c>
      <c r="B41" s="12" t="str">
        <f>IF(20&gt;COUNTIFS($J$2:$J$128,"&gt;0"),"",INDEX($I$2:$I$128,MATCH(20,$L$2:$L$128,0)))</f>
      </c>
      <c r="C41" s="2" t="str">
        <f>IF(20&gt;COUNTIFS($J$2:$J$128,"&gt;0"),"",INDEX($J$2:$J$128,MATCH(20,$L$2:$L$128,0)))</f>
      </c>
      <c r="D41" s="12" t="str">
        <f>IF(20&gt;COUNTIFS($J$2:$J$128,"&gt;0"),"",INDEX($K$2:$K$128,MATCH(20,$L$2:$L$128,0)))</f>
      </c>
      <c r="H41" t="str">
        <v>Churros Los Silos</v>
      </c>
      <c r="I41" t="n">
        <f>'Food'!B62</f>
        <v>10.99</v>
      </c>
      <c r="J41" t="n">
        <f>'Food'!C62</f>
        <v>0</v>
      </c>
      <c r="K41" t="n">
        <f>'Food'!D62</f>
        <v>0</v>
      </c>
      <c r="L41" t="n">
        <f>IF(AND(ISNUMBER(J41),J41&gt;0),COUNTIFS($J$2:J41,"&gt;0"),0)</f>
        <v>0</v>
      </c>
    </row>
    <row r="42" ht="40" customHeight="1">
      <c r="A42" s="4" t="str">
        <f>IF(21&gt;COUNTIFS($J$2:$J$128,"&gt;0"),"",INDEX($H$2:$H$128,MATCH(21,$L$2:$L$128,0)))</f>
      </c>
      <c r="B42" s="12" t="str">
        <f>IF(21&gt;COUNTIFS($J$2:$J$128,"&gt;0"),"",INDEX($I$2:$I$128,MATCH(21,$L$2:$L$128,0)))</f>
      </c>
      <c r="C42" s="2" t="str">
        <f>IF(21&gt;COUNTIFS($J$2:$J$128,"&gt;0"),"",INDEX($J$2:$J$128,MATCH(21,$L$2:$L$128,0)))</f>
      </c>
      <c r="D42" s="12" t="str">
        <f>IF(21&gt;COUNTIFS($J$2:$J$128,"&gt;0"),"",INDEX($K$2:$K$128,MATCH(21,$L$2:$L$128,0)))</f>
      </c>
      <c r="H42" t="str">
        <v>Mimosas</v>
      </c>
      <c r="I42" t="n">
        <f>'Bar'!B9</f>
        <v>10</v>
      </c>
      <c r="J42" t="n">
        <f>'Bar'!C9</f>
        <v>0</v>
      </c>
      <c r="K42" t="n">
        <f>'Bar'!D9</f>
        <v>0</v>
      </c>
      <c r="L42" t="n">
        <f>IF(AND(ISNUMBER(J42),J42&gt;0),COUNTIFS($J$2:J42,"&gt;0"),0)</f>
        <v>0</v>
      </c>
    </row>
    <row r="43" ht="40" customHeight="1">
      <c r="A43" s="4" t="str">
        <f>IF(22&gt;COUNTIFS($J$2:$J$128,"&gt;0"),"",INDEX($H$2:$H$128,MATCH(22,$L$2:$L$128,0)))</f>
      </c>
      <c r="B43" s="12" t="str">
        <f>IF(22&gt;COUNTIFS($J$2:$J$128,"&gt;0"),"",INDEX($I$2:$I$128,MATCH(22,$L$2:$L$128,0)))</f>
      </c>
      <c r="C43" s="2" t="str">
        <f>IF(22&gt;COUNTIFS($J$2:$J$128,"&gt;0"),"",INDEX($J$2:$J$128,MATCH(22,$L$2:$L$128,0)))</f>
      </c>
      <c r="D43" s="12" t="str">
        <f>IF(22&gt;COUNTIFS($J$2:$J$128,"&gt;0"),"",INDEX($K$2:$K$128,MATCH(22,$L$2:$L$128,0)))</f>
      </c>
      <c r="H43" t="str">
        <v>Carlos Margarita</v>
      </c>
      <c r="I43" t="n">
        <f>'Bar'!B10</f>
        <v>14</v>
      </c>
      <c r="J43" t="n">
        <f>'Bar'!C10</f>
        <v>0</v>
      </c>
      <c r="K43" t="n">
        <f>'Bar'!D10</f>
        <v>0</v>
      </c>
      <c r="L43" t="n">
        <f>IF(AND(ISNUMBER(J43),J43&gt;0),COUNTIFS($J$2:J43,"&gt;0"),0)</f>
        <v>0</v>
      </c>
    </row>
    <row r="44" ht="40" customHeight="1">
      <c r="A44" s="4" t="str">
        <f>IF(23&gt;COUNTIFS($J$2:$J$128,"&gt;0"),"",INDEX($H$2:$H$128,MATCH(23,$L$2:$L$128,0)))</f>
      </c>
      <c r="B44" s="12" t="str">
        <f>IF(23&gt;COUNTIFS($J$2:$J$128,"&gt;0"),"",INDEX($I$2:$I$128,MATCH(23,$L$2:$L$128,0)))</f>
      </c>
      <c r="C44" s="2" t="str">
        <f>IF(23&gt;COUNTIFS($J$2:$J$128,"&gt;0"),"",INDEX($J$2:$J$128,MATCH(23,$L$2:$L$128,0)))</f>
      </c>
      <c r="D44" s="12" t="str">
        <f>IF(23&gt;COUNTIFS($J$2:$J$128,"&gt;0"),"",INDEX($K$2:$K$128,MATCH(23,$L$2:$L$128,0)))</f>
      </c>
      <c r="H44" t="str">
        <v>Dragon Fruit Hugo Spritz</v>
      </c>
      <c r="I44" t="n">
        <f>'Bar'!B11</f>
        <v>16</v>
      </c>
      <c r="J44" t="n">
        <f>'Bar'!C11</f>
        <v>0</v>
      </c>
      <c r="K44" t="n">
        <f>'Bar'!D11</f>
        <v>0</v>
      </c>
      <c r="L44" t="n">
        <f>IF(AND(ISNUMBER(J44),J44&gt;0),COUNTIFS($J$2:J44,"&gt;0"),0)</f>
        <v>0</v>
      </c>
    </row>
    <row r="45" ht="40" customHeight="1">
      <c r="A45" s="4" t="str">
        <f>IF(24&gt;COUNTIFS($J$2:$J$128,"&gt;0"),"",INDEX($H$2:$H$128,MATCH(24,$L$2:$L$128,0)))</f>
      </c>
      <c r="B45" s="12" t="str">
        <f>IF(24&gt;COUNTIFS($J$2:$J$128,"&gt;0"),"",INDEX($I$2:$I$128,MATCH(24,$L$2:$L$128,0)))</f>
      </c>
      <c r="C45" s="2" t="str">
        <f>IF(24&gt;COUNTIFS($J$2:$J$128,"&gt;0"),"",INDEX($J$2:$J$128,MATCH(24,$L$2:$L$128,0)))</f>
      </c>
      <c r="D45" s="12" t="str">
        <f>IF(24&gt;COUNTIFS($J$2:$J$128,"&gt;0"),"",INDEX($K$2:$K$128,MATCH(24,$L$2:$L$128,0)))</f>
      </c>
      <c r="H45" t="str">
        <v>Silos Hibiscus Old Fashioned</v>
      </c>
      <c r="I45" t="n">
        <f>'Bar'!B12</f>
        <v>16</v>
      </c>
      <c r="J45" t="n">
        <f>'Bar'!C12</f>
        <v>0</v>
      </c>
      <c r="K45" t="n">
        <f>'Bar'!D12</f>
        <v>0</v>
      </c>
      <c r="L45" t="n">
        <f>IF(AND(ISNUMBER(J45),J45&gt;0),COUNTIFS($J$2:J45,"&gt;0"),0)</f>
        <v>0</v>
      </c>
    </row>
    <row r="46" ht="40" customHeight="1">
      <c r="A46" s="4" t="str">
        <f>IF(25&gt;COUNTIFS($J$2:$J$128,"&gt;0"),"",INDEX($H$2:$H$128,MATCH(25,$L$2:$L$128,0)))</f>
      </c>
      <c r="B46" s="12" t="str">
        <f>IF(25&gt;COUNTIFS($J$2:$J$128,"&gt;0"),"",INDEX($I$2:$I$128,MATCH(25,$L$2:$L$128,0)))</f>
      </c>
      <c r="C46" s="2" t="str">
        <f>IF(25&gt;COUNTIFS($J$2:$J$128,"&gt;0"),"",INDEX($J$2:$J$128,MATCH(25,$L$2:$L$128,0)))</f>
      </c>
      <c r="D46" s="12" t="str">
        <f>IF(25&gt;COUNTIFS($J$2:$J$128,"&gt;0"),"",INDEX($K$2:$K$128,MATCH(25,$L$2:$L$128,0)))</f>
      </c>
      <c r="H46" t="str">
        <v>Aaron's Mezcal Old Fashioned</v>
      </c>
      <c r="I46" t="n">
        <f>'Bar'!B13</f>
        <v>16</v>
      </c>
      <c r="J46" t="n">
        <f>'Bar'!C13</f>
        <v>0</v>
      </c>
      <c r="K46" t="n">
        <f>'Bar'!D13</f>
        <v>0</v>
      </c>
      <c r="L46" t="n">
        <f>IF(AND(ISNUMBER(J46),J46&gt;0),COUNTIFS($J$2:J46,"&gt;0"),0)</f>
        <v>0</v>
      </c>
    </row>
    <row r="47" ht="40" customHeight="1">
      <c r="A47" s="4" t="str">
        <f>IF(26&gt;COUNTIFS($J$2:$J$128,"&gt;0"),"",INDEX($H$2:$H$128,MATCH(26,$L$2:$L$128,0)))</f>
      </c>
      <c r="B47" s="12" t="str">
        <f>IF(26&gt;COUNTIFS($J$2:$J$128,"&gt;0"),"",INDEX($I$2:$I$128,MATCH(26,$L$2:$L$128,0)))</f>
      </c>
      <c r="C47" s="2" t="str">
        <f>IF(26&gt;COUNTIFS($J$2:$J$128,"&gt;0"),"",INDEX($J$2:$J$128,MATCH(26,$L$2:$L$128,0)))</f>
      </c>
      <c r="D47" s="12" t="str">
        <f>IF(26&gt;COUNTIFS($J$2:$J$128,"&gt;0"),"",INDEX($K$2:$K$128,MATCH(26,$L$2:$L$128,0)))</f>
      </c>
      <c r="H47" t="str">
        <v>Modesto Berries Silos</v>
      </c>
      <c r="I47" t="n">
        <f>'Bar'!B14</f>
        <v>16</v>
      </c>
      <c r="J47" t="n">
        <f>'Bar'!C14</f>
        <v>0</v>
      </c>
      <c r="K47" t="n">
        <f>'Bar'!D14</f>
        <v>0</v>
      </c>
      <c r="L47" t="n">
        <f>IF(AND(ISNUMBER(J47),J47&gt;0),COUNTIFS($J$2:J47,"&gt;0"),0)</f>
        <v>0</v>
      </c>
    </row>
    <row r="48" ht="40" customHeight="1">
      <c r="A48" s="4" t="str">
        <f>IF(27&gt;COUNTIFS($J$2:$J$128,"&gt;0"),"",INDEX($H$2:$H$128,MATCH(27,$L$2:$L$128,0)))</f>
      </c>
      <c r="B48" s="12" t="str">
        <f>IF(27&gt;COUNTIFS($J$2:$J$128,"&gt;0"),"",INDEX($I$2:$I$128,MATCH(27,$L$2:$L$128,0)))</f>
      </c>
      <c r="C48" s="2" t="str">
        <f>IF(27&gt;COUNTIFS($J$2:$J$128,"&gt;0"),"",INDEX($J$2:$J$128,MATCH(27,$L$2:$L$128,0)))</f>
      </c>
      <c r="D48" s="12" t="str">
        <f>IF(27&gt;COUNTIFS($J$2:$J$128,"&gt;0"),"",INDEX($K$2:$K$128,MATCH(27,$L$2:$L$128,0)))</f>
      </c>
      <c r="H48" t="str">
        <v>Nutella Martini</v>
      </c>
      <c r="I48" t="n">
        <f>'Bar'!B15</f>
        <v>17</v>
      </c>
      <c r="J48" t="n">
        <f>'Bar'!C15</f>
        <v>0</v>
      </c>
      <c r="K48" t="n">
        <f>'Bar'!D15</f>
        <v>0</v>
      </c>
      <c r="L48" t="n">
        <f>IF(AND(ISNUMBER(J48),J48&gt;0),COUNTIFS($J$2:J48,"&gt;0"),0)</f>
        <v>0</v>
      </c>
    </row>
    <row r="49" ht="40" customHeight="1">
      <c r="A49" s="4" t="str">
        <f>IF(28&gt;COUNTIFS($J$2:$J$128,"&gt;0"),"",INDEX($H$2:$H$128,MATCH(28,$L$2:$L$128,0)))</f>
      </c>
      <c r="B49" s="12" t="str">
        <f>IF(28&gt;COUNTIFS($J$2:$J$128,"&gt;0"),"",INDEX($I$2:$I$128,MATCH(28,$L$2:$L$128,0)))</f>
      </c>
      <c r="C49" s="2" t="str">
        <f>IF(28&gt;COUNTIFS($J$2:$J$128,"&gt;0"),"",INDEX($J$2:$J$128,MATCH(28,$L$2:$L$128,0)))</f>
      </c>
      <c r="D49" s="12" t="str">
        <f>IF(28&gt;COUNTIFS($J$2:$J$128,"&gt;0"),"",INDEX($K$2:$K$128,MATCH(28,$L$2:$L$128,0)))</f>
      </c>
      <c r="H49" t="str">
        <v>Pistachio Espresso Martini</v>
      </c>
      <c r="I49" t="n">
        <f>'Bar'!B16</f>
        <v>17</v>
      </c>
      <c r="J49" t="n">
        <f>'Bar'!C16</f>
        <v>0</v>
      </c>
      <c r="K49" t="n">
        <f>'Bar'!D16</f>
        <v>0</v>
      </c>
      <c r="L49" t="n">
        <f>IF(AND(ISNUMBER(J49),J49&gt;0),COUNTIFS($J$2:J49,"&gt;0"),0)</f>
        <v>0</v>
      </c>
    </row>
    <row r="50" ht="40" customHeight="1">
      <c r="A50" s="4" t="str">
        <f>IF(29&gt;COUNTIFS($J$2:$J$128,"&gt;0"),"",INDEX($H$2:$H$128,MATCH(29,$L$2:$L$128,0)))</f>
      </c>
      <c r="B50" s="12" t="str">
        <f>IF(29&gt;COUNTIFS($J$2:$J$128,"&gt;0"),"",INDEX($I$2:$I$128,MATCH(29,$L$2:$L$128,0)))</f>
      </c>
      <c r="C50" s="2" t="str">
        <f>IF(29&gt;COUNTIFS($J$2:$J$128,"&gt;0"),"",INDEX($J$2:$J$128,MATCH(29,$L$2:$L$128,0)))</f>
      </c>
      <c r="D50" s="12" t="str">
        <f>IF(29&gt;COUNTIFS($J$2:$J$128,"&gt;0"),"",INDEX($K$2:$K$128,MATCH(29,$L$2:$L$128,0)))</f>
      </c>
      <c r="H50" t="str">
        <v>Nectar of the Gods</v>
      </c>
      <c r="I50" t="n">
        <f>'Bar'!B19</f>
        <v>9</v>
      </c>
      <c r="J50" t="n">
        <f>'Bar'!C19</f>
        <v>0</v>
      </c>
      <c r="K50" t="n">
        <f>'Bar'!D19</f>
        <v>0</v>
      </c>
      <c r="L50" t="n">
        <f>IF(AND(ISNUMBER(J50),J50&gt;0),COUNTIFS($J$2:J50,"&gt;0"),0)</f>
        <v>0</v>
      </c>
    </row>
    <row r="51" ht="40" customHeight="1">
      <c r="A51" s="4" t="str">
        <f>IF(30&gt;COUNTIFS($J$2:$J$128,"&gt;0"),"",INDEX($H$2:$H$128,MATCH(30,$L$2:$L$128,0)))</f>
      </c>
      <c r="B51" s="12" t="str">
        <f>IF(30&gt;COUNTIFS($J$2:$J$128,"&gt;0"),"",INDEX($I$2:$I$128,MATCH(30,$L$2:$L$128,0)))</f>
      </c>
      <c r="C51" s="2" t="str">
        <f>IF(30&gt;COUNTIFS($J$2:$J$128,"&gt;0"),"",INDEX($J$2:$J$128,MATCH(30,$L$2:$L$128,0)))</f>
      </c>
      <c r="D51" s="12" t="str">
        <f>IF(30&gt;COUNTIFS($J$2:$J$128,"&gt;0"),"",INDEX($K$2:$K$128,MATCH(30,$L$2:$L$128,0)))</f>
      </c>
      <c r="H51" t="str">
        <v>Silos Mexican Amber</v>
      </c>
      <c r="I51" t="n">
        <f>'Bar'!B20</f>
        <v>9</v>
      </c>
      <c r="J51" t="n">
        <f>'Bar'!C20</f>
        <v>0</v>
      </c>
      <c r="K51" t="n">
        <f>'Bar'!D20</f>
        <v>0</v>
      </c>
      <c r="L51" t="n">
        <f>IF(AND(ISNUMBER(J51),J51&gt;0),COUNTIFS($J$2:J51,"&gt;0"),0)</f>
        <v>0</v>
      </c>
    </row>
    <row r="52" ht="40" customHeight="1">
      <c r="A52" s="4" t="str">
        <f>IF(31&gt;COUNTIFS($J$2:$J$128,"&gt;0"),"",INDEX($H$2:$H$128,MATCH(31,$L$2:$L$128,0)))</f>
      </c>
      <c r="B52" s="12" t="str">
        <f>IF(31&gt;COUNTIFS($J$2:$J$128,"&gt;0"),"",INDEX($I$2:$I$128,MATCH(31,$L$2:$L$128,0)))</f>
      </c>
      <c r="C52" s="2" t="str">
        <f>IF(31&gt;COUNTIFS($J$2:$J$128,"&gt;0"),"",INDEX($J$2:$J$128,MATCH(31,$L$2:$L$128,0)))</f>
      </c>
      <c r="D52" s="12" t="str">
        <f>IF(31&gt;COUNTIFS($J$2:$J$128,"&gt;0"),"",INDEX($K$2:$K$128,MATCH(31,$L$2:$L$128,0)))</f>
      </c>
      <c r="H52" t="str">
        <v>Blood Orange IPA</v>
      </c>
      <c r="I52" t="n">
        <f>'Bar'!B21</f>
        <v>9</v>
      </c>
      <c r="J52" t="n">
        <f>'Bar'!C21</f>
        <v>0</v>
      </c>
      <c r="K52" t="n">
        <f>'Bar'!D21</f>
        <v>0</v>
      </c>
      <c r="L52" t="n">
        <f>IF(AND(ISNUMBER(J52),J52&gt;0),COUNTIFS($J$2:J52,"&gt;0"),0)</f>
        <v>0</v>
      </c>
    </row>
    <row r="53" ht="40" customHeight="1">
      <c r="A53" s="4" t="str">
        <f>IF(32&gt;COUNTIFS($J$2:$J$128,"&gt;0"),"",INDEX($H$2:$H$128,MATCH(32,$L$2:$L$128,0)))</f>
      </c>
      <c r="B53" s="12" t="str">
        <f>IF(32&gt;COUNTIFS($J$2:$J$128,"&gt;0"),"",INDEX($I$2:$I$128,MATCH(32,$L$2:$L$128,0)))</f>
      </c>
      <c r="C53" s="2" t="str">
        <f>IF(32&gt;COUNTIFS($J$2:$J$128,"&gt;0"),"",INDEX($J$2:$J$128,MATCH(32,$L$2:$L$128,0)))</f>
      </c>
      <c r="D53" s="12" t="str">
        <f>IF(32&gt;COUNTIFS($J$2:$J$128,"&gt;0"),"",INDEX($K$2:$K$128,MATCH(32,$L$2:$L$128,0)))</f>
      </c>
      <c r="H53" t="str">
        <v>Corona</v>
      </c>
      <c r="I53" t="n">
        <f>'Bar'!B24</f>
        <v>8</v>
      </c>
      <c r="J53" t="n">
        <f>'Bar'!C24</f>
        <v>0</v>
      </c>
      <c r="K53" t="n">
        <f>'Bar'!D24</f>
        <v>0</v>
      </c>
      <c r="L53" t="n">
        <f>IF(AND(ISNUMBER(J53),J53&gt;0),COUNTIFS($J$2:J53,"&gt;0"),0)</f>
        <v>0</v>
      </c>
    </row>
    <row r="54" ht="40" customHeight="1">
      <c r="A54" s="4" t="str">
        <f>IF(33&gt;COUNTIFS($J$2:$J$128,"&gt;0"),"",INDEX($H$2:$H$128,MATCH(33,$L$2:$L$128,0)))</f>
      </c>
      <c r="B54" s="12" t="str">
        <f>IF(33&gt;COUNTIFS($J$2:$J$128,"&gt;0"),"",INDEX($I$2:$I$128,MATCH(33,$L$2:$L$128,0)))</f>
      </c>
      <c r="C54" s="2" t="str">
        <f>IF(33&gt;COUNTIFS($J$2:$J$128,"&gt;0"),"",INDEX($J$2:$J$128,MATCH(33,$L$2:$L$128,0)))</f>
      </c>
      <c r="D54" s="12" t="str">
        <f>IF(33&gt;COUNTIFS($J$2:$J$128,"&gt;0"),"",INDEX($K$2:$K$128,MATCH(33,$L$2:$L$128,0)))</f>
      </c>
      <c r="H54" t="str">
        <v>Blue Moon</v>
      </c>
      <c r="I54" t="n">
        <f>'Bar'!B25</f>
        <v>8</v>
      </c>
      <c r="J54" t="n">
        <f>'Bar'!C25</f>
        <v>0</v>
      </c>
      <c r="K54" t="n">
        <f>'Bar'!D25</f>
        <v>0</v>
      </c>
      <c r="L54" t="n">
        <f>IF(AND(ISNUMBER(J54),J54&gt;0),COUNTIFS($J$2:J54,"&gt;0"),0)</f>
        <v>0</v>
      </c>
    </row>
    <row r="55" ht="40" customHeight="1">
      <c r="A55" s="4" t="str">
        <f>IF(34&gt;COUNTIFS($J$2:$J$128,"&gt;0"),"",INDEX($H$2:$H$128,MATCH(34,$L$2:$L$128,0)))</f>
      </c>
      <c r="B55" s="12" t="str">
        <f>IF(34&gt;COUNTIFS($J$2:$J$128,"&gt;0"),"",INDEX($I$2:$I$128,MATCH(34,$L$2:$L$128,0)))</f>
      </c>
      <c r="C55" s="2" t="str">
        <f>IF(34&gt;COUNTIFS($J$2:$J$128,"&gt;0"),"",INDEX($J$2:$J$128,MATCH(34,$L$2:$L$128,0)))</f>
      </c>
      <c r="D55" s="12" t="str">
        <f>IF(34&gt;COUNTIFS($J$2:$J$128,"&gt;0"),"",INDEX($K$2:$K$128,MATCH(34,$L$2:$L$128,0)))</f>
      </c>
      <c r="H55" t="str">
        <v>Pacifico</v>
      </c>
      <c r="I55" t="n">
        <f>'Bar'!B26</f>
        <v>8</v>
      </c>
      <c r="J55" t="n">
        <f>'Bar'!C26</f>
        <v>0</v>
      </c>
      <c r="K55" t="n">
        <f>'Bar'!D26</f>
        <v>0</v>
      </c>
      <c r="L55" t="n">
        <f>IF(AND(ISNUMBER(J55),J55&gt;0),COUNTIFS($J$2:J55,"&gt;0"),0)</f>
        <v>0</v>
      </c>
    </row>
    <row r="56" ht="40" customHeight="1">
      <c r="A56" s="4" t="str">
        <f>IF(35&gt;COUNTIFS($J$2:$J$128,"&gt;0"),"",INDEX($H$2:$H$128,MATCH(35,$L$2:$L$128,0)))</f>
      </c>
      <c r="B56" s="12" t="str">
        <f>IF(35&gt;COUNTIFS($J$2:$J$128,"&gt;0"),"",INDEX($I$2:$I$128,MATCH(35,$L$2:$L$128,0)))</f>
      </c>
      <c r="C56" s="2" t="str">
        <f>IF(35&gt;COUNTIFS($J$2:$J$128,"&gt;0"),"",INDEX($J$2:$J$128,MATCH(35,$L$2:$L$128,0)))</f>
      </c>
      <c r="D56" s="12" t="str">
        <f>IF(35&gt;COUNTIFS($J$2:$J$128,"&gt;0"),"",INDEX($K$2:$K$128,MATCH(35,$L$2:$L$128,0)))</f>
      </c>
      <c r="H56" t="str">
        <v>Modelo Especial</v>
      </c>
      <c r="I56" t="n">
        <f>'Bar'!B27</f>
        <v>8</v>
      </c>
      <c r="J56" t="n">
        <f>'Bar'!C27</f>
        <v>0</v>
      </c>
      <c r="K56" t="n">
        <f>'Bar'!D27</f>
        <v>0</v>
      </c>
      <c r="L56" t="n">
        <f>IF(AND(ISNUMBER(J56),J56&gt;0),COUNTIFS($J$2:J56,"&gt;0"),0)</f>
        <v>0</v>
      </c>
    </row>
    <row r="57" ht="40" customHeight="1">
      <c r="A57" s="4" t="str">
        <f>IF(36&gt;COUNTIFS($J$2:$J$128,"&gt;0"),"",INDEX($H$2:$H$128,MATCH(36,$L$2:$L$128,0)))</f>
      </c>
      <c r="B57" s="12" t="str">
        <f>IF(36&gt;COUNTIFS($J$2:$J$128,"&gt;0"),"",INDEX($I$2:$I$128,MATCH(36,$L$2:$L$128,0)))</f>
      </c>
      <c r="C57" s="2" t="str">
        <f>IF(36&gt;COUNTIFS($J$2:$J$128,"&gt;0"),"",INDEX($J$2:$J$128,MATCH(36,$L$2:$L$128,0)))</f>
      </c>
      <c r="D57" s="12" t="str">
        <f>IF(36&gt;COUNTIFS($J$2:$J$128,"&gt;0"),"",INDEX($K$2:$K$128,MATCH(36,$L$2:$L$128,0)))</f>
      </c>
      <c r="H57" t="str">
        <v>Michelob Ultra</v>
      </c>
      <c r="I57" t="n">
        <f>'Bar'!B28</f>
        <v>8</v>
      </c>
      <c r="J57" t="n">
        <f>'Bar'!C28</f>
        <v>0</v>
      </c>
      <c r="K57" t="n">
        <f>'Bar'!D28</f>
        <v>0</v>
      </c>
      <c r="L57" t="n">
        <f>IF(AND(ISNUMBER(J57),J57&gt;0),COUNTIFS($J$2:J57,"&gt;0"),0)</f>
        <v>0</v>
      </c>
    </row>
    <row r="58" ht="40" customHeight="1">
      <c r="A58" s="4" t="str">
        <f>IF(37&gt;COUNTIFS($J$2:$J$128,"&gt;0"),"",INDEX($H$2:$H$128,MATCH(37,$L$2:$L$128,0)))</f>
      </c>
      <c r="B58" s="12" t="str">
        <f>IF(37&gt;COUNTIFS($J$2:$J$128,"&gt;0"),"",INDEX($I$2:$I$128,MATCH(37,$L$2:$L$128,0)))</f>
      </c>
      <c r="C58" s="2" t="str">
        <f>IF(37&gt;COUNTIFS($J$2:$J$128,"&gt;0"),"",INDEX($J$2:$J$128,MATCH(37,$L$2:$L$128,0)))</f>
      </c>
      <c r="D58" s="12" t="str">
        <f>IF(37&gt;COUNTIFS($J$2:$J$128,"&gt;0"),"",INDEX($K$2:$K$128,MATCH(37,$L$2:$L$128,0)))</f>
      </c>
      <c r="H58" t="str">
        <v>Don Fulano Blanco</v>
      </c>
      <c r="I58" t="n">
        <f>'Bar'!B31</f>
        <v>14</v>
      </c>
      <c r="J58" t="n">
        <f>'Bar'!C31</f>
        <v>0</v>
      </c>
      <c r="K58" t="n">
        <f>'Bar'!D31</f>
        <v>0</v>
      </c>
      <c r="L58" t="n">
        <f>IF(AND(ISNUMBER(J58),J58&gt;0),COUNTIFS($J$2:J58,"&gt;0"),0)</f>
        <v>0</v>
      </c>
    </row>
    <row r="59" ht="40" customHeight="1">
      <c r="A59" s="4" t="str">
        <f>IF(38&gt;COUNTIFS($J$2:$J$128,"&gt;0"),"",INDEX($H$2:$H$128,MATCH(38,$L$2:$L$128,0)))</f>
      </c>
      <c r="B59" s="12" t="str">
        <f>IF(38&gt;COUNTIFS($J$2:$J$128,"&gt;0"),"",INDEX($I$2:$I$128,MATCH(38,$L$2:$L$128,0)))</f>
      </c>
      <c r="C59" s="2" t="str">
        <f>IF(38&gt;COUNTIFS($J$2:$J$128,"&gt;0"),"",INDEX($J$2:$J$128,MATCH(38,$L$2:$L$128,0)))</f>
      </c>
      <c r="D59" s="12" t="str">
        <f>IF(38&gt;COUNTIFS($J$2:$J$128,"&gt;0"),"",INDEX($K$2:$K$128,MATCH(38,$L$2:$L$128,0)))</f>
      </c>
      <c r="H59" t="str">
        <v>Casamigos Blanco</v>
      </c>
      <c r="I59" t="n">
        <f>'Bar'!B32</f>
        <v>15</v>
      </c>
      <c r="J59" t="n">
        <f>'Bar'!C32</f>
        <v>0</v>
      </c>
      <c r="K59" t="n">
        <f>'Bar'!D32</f>
        <v>0</v>
      </c>
      <c r="L59" t="n">
        <f>IF(AND(ISNUMBER(J59),J59&gt;0),COUNTIFS($J$2:J59,"&gt;0"),0)</f>
        <v>0</v>
      </c>
    </row>
    <row r="60" ht="40" customHeight="1">
      <c r="A60" s="4" t="str">
        <f>IF(39&gt;COUNTIFS($J$2:$J$128,"&gt;0"),"",INDEX($H$2:$H$128,MATCH(39,$L$2:$L$128,0)))</f>
      </c>
      <c r="B60" s="12" t="str">
        <f>IF(39&gt;COUNTIFS($J$2:$J$128,"&gt;0"),"",INDEX($I$2:$I$128,MATCH(39,$L$2:$L$128,0)))</f>
      </c>
      <c r="C60" s="2" t="str">
        <f>IF(39&gt;COUNTIFS($J$2:$J$128,"&gt;0"),"",INDEX($J$2:$J$128,MATCH(39,$L$2:$L$128,0)))</f>
      </c>
      <c r="D60" s="12" t="str">
        <f>IF(39&gt;COUNTIFS($J$2:$J$128,"&gt;0"),"",INDEX($K$2:$K$128,MATCH(39,$L$2:$L$128,0)))</f>
      </c>
      <c r="H60" t="str">
        <v>Tequila Ocho Blanco</v>
      </c>
      <c r="I60" t="n">
        <f>'Bar'!B33</f>
        <v>16</v>
      </c>
      <c r="J60" t="n">
        <f>'Bar'!C33</f>
        <v>0</v>
      </c>
      <c r="K60" t="n">
        <f>'Bar'!D33</f>
        <v>0</v>
      </c>
      <c r="L60" t="n">
        <f>IF(AND(ISNUMBER(J60),J60&gt;0),COUNTIFS($J$2:J60,"&gt;0"),0)</f>
        <v>0</v>
      </c>
    </row>
    <row r="61" ht="40" customHeight="1">
      <c r="A61" s="4" t="str">
        <f>IF(40&gt;COUNTIFS($J$2:$J$128,"&gt;0"),"",INDEX($H$2:$H$128,MATCH(40,$L$2:$L$128,0)))</f>
      </c>
      <c r="B61" s="12" t="str">
        <f>IF(40&gt;COUNTIFS($J$2:$J$128,"&gt;0"),"",INDEX($I$2:$I$128,MATCH(40,$L$2:$L$128,0)))</f>
      </c>
      <c r="C61" s="2" t="str">
        <f>IF(40&gt;COUNTIFS($J$2:$J$128,"&gt;0"),"",INDEX($J$2:$J$128,MATCH(40,$L$2:$L$128,0)))</f>
      </c>
      <c r="D61" s="12" t="str">
        <f>IF(40&gt;COUNTIFS($J$2:$J$128,"&gt;0"),"",INDEX($K$2:$K$128,MATCH(40,$L$2:$L$128,0)))</f>
      </c>
      <c r="H61" t="str">
        <v>Patron Silver</v>
      </c>
      <c r="I61" t="n">
        <f>'Bar'!B34</f>
        <v>16</v>
      </c>
      <c r="J61" t="n">
        <f>'Bar'!C34</f>
        <v>0</v>
      </c>
      <c r="K61" t="n">
        <f>'Bar'!D34</f>
        <v>0</v>
      </c>
      <c r="L61" t="n">
        <f>IF(AND(ISNUMBER(J61),J61&gt;0),COUNTIFS($J$2:J61,"&gt;0"),0)</f>
        <v>0</v>
      </c>
    </row>
    <row r="62" ht="40" customHeight="1">
      <c r="A62" s="4" t="str">
        <f>IF(41&gt;COUNTIFS($J$2:$J$128,"&gt;0"),"",INDEX($H$2:$H$128,MATCH(41,$L$2:$L$128,0)))</f>
      </c>
      <c r="B62" s="12" t="str">
        <f>IF(41&gt;COUNTIFS($J$2:$J$128,"&gt;0"),"",INDEX($I$2:$I$128,MATCH(41,$L$2:$L$128,0)))</f>
      </c>
      <c r="C62" s="2" t="str">
        <f>IF(41&gt;COUNTIFS($J$2:$J$128,"&gt;0"),"",INDEX($J$2:$J$128,MATCH(41,$L$2:$L$128,0)))</f>
      </c>
      <c r="D62" s="12" t="str">
        <f>IF(41&gt;COUNTIFS($J$2:$J$128,"&gt;0"),"",INDEX($K$2:$K$128,MATCH(41,$L$2:$L$128,0)))</f>
      </c>
      <c r="H62" t="str">
        <v>Fortaleza Blanco</v>
      </c>
      <c r="I62" t="n">
        <f>'Bar'!B35</f>
        <v>16</v>
      </c>
      <c r="J62" t="n">
        <f>'Bar'!C35</f>
        <v>0</v>
      </c>
      <c r="K62" t="n">
        <f>'Bar'!D35</f>
        <v>0</v>
      </c>
      <c r="L62" t="n">
        <f>IF(AND(ISNUMBER(J62),J62&gt;0),COUNTIFS($J$2:J62,"&gt;0"),0)</f>
        <v>0</v>
      </c>
    </row>
    <row r="63" ht="40" customHeight="1">
      <c r="A63" s="4" t="str">
        <f>IF(42&gt;COUNTIFS($J$2:$J$128,"&gt;0"),"",INDEX($H$2:$H$128,MATCH(42,$L$2:$L$128,0)))</f>
      </c>
      <c r="B63" s="12" t="str">
        <f>IF(42&gt;COUNTIFS($J$2:$J$128,"&gt;0"),"",INDEX($I$2:$I$128,MATCH(42,$L$2:$L$128,0)))</f>
      </c>
      <c r="C63" s="2" t="str">
        <f>IF(42&gt;COUNTIFS($J$2:$J$128,"&gt;0"),"",INDEX($J$2:$J$128,MATCH(42,$L$2:$L$128,0)))</f>
      </c>
      <c r="D63" s="12" t="str">
        <f>IF(42&gt;COUNTIFS($J$2:$J$128,"&gt;0"),"",INDEX($K$2:$K$128,MATCH(42,$L$2:$L$128,0)))</f>
      </c>
      <c r="H63" t="str">
        <v>Don Fulano Reposado</v>
      </c>
      <c r="I63" t="n">
        <f>'Bar'!B36</f>
        <v>16</v>
      </c>
      <c r="J63" t="n">
        <f>'Bar'!C36</f>
        <v>0</v>
      </c>
      <c r="K63" t="n">
        <f>'Bar'!D36</f>
        <v>0</v>
      </c>
      <c r="L63" t="n">
        <f>IF(AND(ISNUMBER(J63),J63&gt;0),COUNTIFS($J$2:J63,"&gt;0"),0)</f>
        <v>0</v>
      </c>
    </row>
    <row r="64" ht="40" customHeight="1">
      <c r="A64" s="4" t="str">
        <f>IF(43&gt;COUNTIFS($J$2:$J$128,"&gt;0"),"",INDEX($H$2:$H$128,MATCH(43,$L$2:$L$128,0)))</f>
      </c>
      <c r="B64" s="12" t="str">
        <f>IF(43&gt;COUNTIFS($J$2:$J$128,"&gt;0"),"",INDEX($I$2:$I$128,MATCH(43,$L$2:$L$128,0)))</f>
      </c>
      <c r="C64" s="2" t="str">
        <f>IF(43&gt;COUNTIFS($J$2:$J$128,"&gt;0"),"",INDEX($J$2:$J$128,MATCH(43,$L$2:$L$128,0)))</f>
      </c>
      <c r="D64" s="12" t="str">
        <f>IF(43&gt;COUNTIFS($J$2:$J$128,"&gt;0"),"",INDEX($K$2:$K$128,MATCH(43,$L$2:$L$128,0)))</f>
      </c>
      <c r="H64" t="str">
        <v>Casamigos Reposado</v>
      </c>
      <c r="I64" t="n">
        <f>'Bar'!B37</f>
        <v>18</v>
      </c>
      <c r="J64" t="n">
        <f>'Bar'!C37</f>
        <v>0</v>
      </c>
      <c r="K64" t="n">
        <f>'Bar'!D37</f>
        <v>0</v>
      </c>
      <c r="L64" t="n">
        <f>IF(AND(ISNUMBER(J64),J64&gt;0),COUNTIFS($J$2:J64,"&gt;0"),0)</f>
        <v>0</v>
      </c>
    </row>
    <row r="65" ht="40" customHeight="1">
      <c r="A65" s="4" t="str">
        <f>IF(44&gt;COUNTIFS($J$2:$J$128,"&gt;0"),"",INDEX($H$2:$H$128,MATCH(44,$L$2:$L$128,0)))</f>
      </c>
      <c r="B65" s="12" t="str">
        <f>IF(44&gt;COUNTIFS($J$2:$J$128,"&gt;0"),"",INDEX($I$2:$I$128,MATCH(44,$L$2:$L$128,0)))</f>
      </c>
      <c r="C65" s="2" t="str">
        <f>IF(44&gt;COUNTIFS($J$2:$J$128,"&gt;0"),"",INDEX($J$2:$J$128,MATCH(44,$L$2:$L$128,0)))</f>
      </c>
      <c r="D65" s="12" t="str">
        <f>IF(44&gt;COUNTIFS($J$2:$J$128,"&gt;0"),"",INDEX($K$2:$K$128,MATCH(44,$L$2:$L$128,0)))</f>
      </c>
      <c r="H65" t="str">
        <v>Fortaleza Reposado</v>
      </c>
      <c r="I65" t="n">
        <f>'Bar'!B38</f>
        <v>18</v>
      </c>
      <c r="J65" t="n">
        <f>'Bar'!C38</f>
        <v>0</v>
      </c>
      <c r="K65" t="n">
        <f>'Bar'!D38</f>
        <v>0</v>
      </c>
      <c r="L65" t="n">
        <f>IF(AND(ISNUMBER(J65),J65&gt;0),COUNTIFS($J$2:J65,"&gt;0"),0)</f>
        <v>0</v>
      </c>
    </row>
    <row r="66" ht="40" customHeight="1">
      <c r="A66" s="4" t="str">
        <f>IF(45&gt;COUNTIFS($J$2:$J$128,"&gt;0"),"",INDEX($H$2:$H$128,MATCH(45,$L$2:$L$128,0)))</f>
      </c>
      <c r="B66" s="12" t="str">
        <f>IF(45&gt;COUNTIFS($J$2:$J$128,"&gt;0"),"",INDEX($I$2:$I$128,MATCH(45,$L$2:$L$128,0)))</f>
      </c>
      <c r="C66" s="2" t="str">
        <f>IF(45&gt;COUNTIFS($J$2:$J$128,"&gt;0"),"",INDEX($J$2:$J$128,MATCH(45,$L$2:$L$128,0)))</f>
      </c>
      <c r="D66" s="12" t="str">
        <f>IF(45&gt;COUNTIFS($J$2:$J$128,"&gt;0"),"",INDEX($K$2:$K$128,MATCH(45,$L$2:$L$128,0)))</f>
      </c>
      <c r="H66" t="str">
        <v>Don Fulano Anejo</v>
      </c>
      <c r="I66" t="n">
        <f>'Bar'!B39</f>
        <v>20</v>
      </c>
      <c r="J66" t="n">
        <f>'Bar'!C39</f>
        <v>0</v>
      </c>
      <c r="K66" t="n">
        <f>'Bar'!D39</f>
        <v>0</v>
      </c>
      <c r="L66" t="n">
        <f>IF(AND(ISNUMBER(J66),J66&gt;0),COUNTIFS($J$2:J66,"&gt;0"),0)</f>
        <v>0</v>
      </c>
    </row>
    <row r="67" ht="40" customHeight="1">
      <c r="A67" s="4" t="str">
        <f>IF(46&gt;COUNTIFS($J$2:$J$128,"&gt;0"),"",INDEX($H$2:$H$128,MATCH(46,$L$2:$L$128,0)))</f>
      </c>
      <c r="B67" s="12" t="str">
        <f>IF(46&gt;COUNTIFS($J$2:$J$128,"&gt;0"),"",INDEX($I$2:$I$128,MATCH(46,$L$2:$L$128,0)))</f>
      </c>
      <c r="C67" s="2" t="str">
        <f>IF(46&gt;COUNTIFS($J$2:$J$128,"&gt;0"),"",INDEX($J$2:$J$128,MATCH(46,$L$2:$L$128,0)))</f>
      </c>
      <c r="D67" s="12" t="str">
        <f>IF(46&gt;COUNTIFS($J$2:$J$128,"&gt;0"),"",INDEX($K$2:$K$128,MATCH(46,$L$2:$L$128,0)))</f>
      </c>
      <c r="H67" t="str">
        <v>Casa Dragones Blanco</v>
      </c>
      <c r="I67" t="n">
        <f>'Bar'!B40</f>
        <v>22</v>
      </c>
      <c r="J67" t="n">
        <f>'Bar'!C40</f>
        <v>0</v>
      </c>
      <c r="K67" t="n">
        <f>'Bar'!D40</f>
        <v>0</v>
      </c>
      <c r="L67" t="n">
        <f>IF(AND(ISNUMBER(J67),J67&gt;0),COUNTIFS($J$2:J67,"&gt;0"),0)</f>
        <v>0</v>
      </c>
    </row>
    <row r="68" ht="40" customHeight="1">
      <c r="A68" s="4" t="str">
        <f>IF(47&gt;COUNTIFS($J$2:$J$128,"&gt;0"),"",INDEX($H$2:$H$128,MATCH(47,$L$2:$L$128,0)))</f>
      </c>
      <c r="B68" s="12" t="str">
        <f>IF(47&gt;COUNTIFS($J$2:$J$128,"&gt;0"),"",INDEX($I$2:$I$128,MATCH(47,$L$2:$L$128,0)))</f>
      </c>
      <c r="C68" s="2" t="str">
        <f>IF(47&gt;COUNTIFS($J$2:$J$128,"&gt;0"),"",INDEX($J$2:$J$128,MATCH(47,$L$2:$L$128,0)))</f>
      </c>
      <c r="D68" s="12" t="str">
        <f>IF(47&gt;COUNTIFS($J$2:$J$128,"&gt;0"),"",INDEX($K$2:$K$128,MATCH(47,$L$2:$L$128,0)))</f>
      </c>
      <c r="H68" t="str">
        <v>Don Julio 70</v>
      </c>
      <c r="I68" t="n">
        <f>'Bar'!B41</f>
        <v>24</v>
      </c>
      <c r="J68" t="n">
        <f>'Bar'!C41</f>
        <v>0</v>
      </c>
      <c r="K68" t="n">
        <f>'Bar'!D41</f>
        <v>0</v>
      </c>
      <c r="L68" t="n">
        <f>IF(AND(ISNUMBER(J68),J68&gt;0),COUNTIFS($J$2:J68,"&gt;0"),0)</f>
        <v>0</v>
      </c>
    </row>
    <row r="69" ht="40" customHeight="1">
      <c r="A69" s="4" t="str">
        <f>IF(48&gt;COUNTIFS($J$2:$J$128,"&gt;0"),"",INDEX($H$2:$H$128,MATCH(48,$L$2:$L$128,0)))</f>
      </c>
      <c r="B69" s="12" t="str">
        <f>IF(48&gt;COUNTIFS($J$2:$J$128,"&gt;0"),"",INDEX($I$2:$I$128,MATCH(48,$L$2:$L$128,0)))</f>
      </c>
      <c r="C69" s="2" t="str">
        <f>IF(48&gt;COUNTIFS($J$2:$J$128,"&gt;0"),"",INDEX($J$2:$J$128,MATCH(48,$L$2:$L$128,0)))</f>
      </c>
      <c r="D69" s="12" t="str">
        <f>IF(48&gt;COUNTIFS($J$2:$J$128,"&gt;0"),"",INDEX($K$2:$K$128,MATCH(48,$L$2:$L$128,0)))</f>
      </c>
      <c r="H69" t="str">
        <v>Clase Azul Plata (Blanco)</v>
      </c>
      <c r="I69" t="n">
        <f>'Bar'!B42</f>
        <v>30</v>
      </c>
      <c r="J69" t="n">
        <f>'Bar'!C42</f>
        <v>0</v>
      </c>
      <c r="K69" t="n">
        <f>'Bar'!D42</f>
        <v>0</v>
      </c>
      <c r="L69" t="n">
        <f>IF(AND(ISNUMBER(J69),J69&gt;0),COUNTIFS($J$2:J69,"&gt;0"),0)</f>
        <v>0</v>
      </c>
    </row>
    <row r="70" ht="40" customHeight="1">
      <c r="A70" s="4" t="str">
        <f>IF(49&gt;COUNTIFS($J$2:$J$128,"&gt;0"),"",INDEX($H$2:$H$128,MATCH(49,$L$2:$L$128,0)))</f>
      </c>
      <c r="B70" s="12" t="str">
        <f>IF(49&gt;COUNTIFS($J$2:$J$128,"&gt;0"),"",INDEX($I$2:$I$128,MATCH(49,$L$2:$L$128,0)))</f>
      </c>
      <c r="C70" s="2" t="str">
        <f>IF(49&gt;COUNTIFS($J$2:$J$128,"&gt;0"),"",INDEX($J$2:$J$128,MATCH(49,$L$2:$L$128,0)))</f>
      </c>
      <c r="D70" s="12" t="str">
        <f>IF(49&gt;COUNTIFS($J$2:$J$128,"&gt;0"),"",INDEX($K$2:$K$128,MATCH(49,$L$2:$L$128,0)))</f>
      </c>
      <c r="H70" t="str">
        <v>Don Julio 1942</v>
      </c>
      <c r="I70" t="n">
        <f>'Bar'!B43</f>
        <v>40</v>
      </c>
      <c r="J70" t="n">
        <f>'Bar'!C43</f>
        <v>0</v>
      </c>
      <c r="K70" t="n">
        <f>'Bar'!D43</f>
        <v>0</v>
      </c>
      <c r="L70" t="n">
        <f>IF(AND(ISNUMBER(J70),J70&gt;0),COUNTIFS($J$2:J70,"&gt;0"),0)</f>
        <v>0</v>
      </c>
    </row>
    <row r="71" ht="40" customHeight="1">
      <c r="A71" s="4" t="str">
        <f>IF(50&gt;COUNTIFS($J$2:$J$128,"&gt;0"),"",INDEX($H$2:$H$128,MATCH(50,$L$2:$L$128,0)))</f>
      </c>
      <c r="B71" s="12" t="str">
        <f>IF(50&gt;COUNTIFS($J$2:$J$128,"&gt;0"),"",INDEX($I$2:$I$128,MATCH(50,$L$2:$L$128,0)))</f>
      </c>
      <c r="C71" s="2" t="str">
        <f>IF(50&gt;COUNTIFS($J$2:$J$128,"&gt;0"),"",INDEX($J$2:$J$128,MATCH(50,$L$2:$L$128,0)))</f>
      </c>
      <c r="D71" s="12" t="str">
        <f>IF(50&gt;COUNTIFS($J$2:$J$128,"&gt;0"),"",INDEX($K$2:$K$128,MATCH(50,$L$2:$L$128,0)))</f>
      </c>
      <c r="H71" t="str">
        <v>Clase Azul Reposado</v>
      </c>
      <c r="I71" t="n">
        <f>'Bar'!B44</f>
        <v>40</v>
      </c>
      <c r="J71" t="n">
        <f>'Bar'!C44</f>
        <v>0</v>
      </c>
      <c r="K71" t="n">
        <f>'Bar'!D44</f>
        <v>0</v>
      </c>
      <c r="L71" t="n">
        <f>IF(AND(ISNUMBER(J71),J71&gt;0),COUNTIFS($J$2:J71,"&gt;0"),0)</f>
        <v>0</v>
      </c>
    </row>
    <row r="72" ht="40" customHeight="1">
      <c r="A72" s="4" t="str">
        <f>IF(51&gt;COUNTIFS($J$2:$J$128,"&gt;0"),"",INDEX($H$2:$H$128,MATCH(51,$L$2:$L$128,0)))</f>
      </c>
      <c r="B72" s="12" t="str">
        <f>IF(51&gt;COUNTIFS($J$2:$J$128,"&gt;0"),"",INDEX($I$2:$I$128,MATCH(51,$L$2:$L$128,0)))</f>
      </c>
      <c r="C72" s="2" t="str">
        <f>IF(51&gt;COUNTIFS($J$2:$J$128,"&gt;0"),"",INDEX($J$2:$J$128,MATCH(51,$L$2:$L$128,0)))</f>
      </c>
      <c r="D72" s="12" t="str">
        <f>IF(51&gt;COUNTIFS($J$2:$J$128,"&gt;0"),"",INDEX($K$2:$K$128,MATCH(51,$L$2:$L$128,0)))</f>
      </c>
      <c r="H72" t="str">
        <v>Del Maguey Vida</v>
      </c>
      <c r="I72" t="n">
        <f>'Bar'!B47</f>
        <v>12</v>
      </c>
      <c r="J72" t="n">
        <f>'Bar'!C47</f>
        <v>0</v>
      </c>
      <c r="K72" t="n">
        <f>'Bar'!D47</f>
        <v>0</v>
      </c>
      <c r="L72" t="n">
        <f>IF(AND(ISNUMBER(J72),J72&gt;0),COUNTIFS($J$2:J72,"&gt;0"),0)</f>
        <v>0</v>
      </c>
    </row>
    <row r="73" ht="40" customHeight="1">
      <c r="A73" s="4" t="str">
        <f>IF(52&gt;COUNTIFS($J$2:$J$128,"&gt;0"),"",INDEX($H$2:$H$128,MATCH(52,$L$2:$L$128,0)))</f>
      </c>
      <c r="B73" s="12" t="str">
        <f>IF(52&gt;COUNTIFS($J$2:$J$128,"&gt;0"),"",INDEX($I$2:$I$128,MATCH(52,$L$2:$L$128,0)))</f>
      </c>
      <c r="C73" s="2" t="str">
        <f>IF(52&gt;COUNTIFS($J$2:$J$128,"&gt;0"),"",INDEX($J$2:$J$128,MATCH(52,$L$2:$L$128,0)))</f>
      </c>
      <c r="D73" s="12" t="str">
        <f>IF(52&gt;COUNTIFS($J$2:$J$128,"&gt;0"),"",INDEX($K$2:$K$128,MATCH(52,$L$2:$L$128,0)))</f>
      </c>
      <c r="H73" t="str">
        <v>Derrumbes Durango</v>
      </c>
      <c r="I73" t="n">
        <f>'Bar'!B48</f>
        <v>14</v>
      </c>
      <c r="J73" t="n">
        <f>'Bar'!C48</f>
        <v>0</v>
      </c>
      <c r="K73" t="n">
        <f>'Bar'!D48</f>
        <v>0</v>
      </c>
      <c r="L73" t="n">
        <f>IF(AND(ISNUMBER(J73),J73&gt;0),COUNTIFS($J$2:J73,"&gt;0"),0)</f>
        <v>0</v>
      </c>
    </row>
    <row r="74" ht="40" customHeight="1">
      <c r="A74" s="4" t="str">
        <f>IF(53&gt;COUNTIFS($J$2:$J$128,"&gt;0"),"",INDEX($H$2:$H$128,MATCH(53,$L$2:$L$128,0)))</f>
      </c>
      <c r="B74" s="12" t="str">
        <f>IF(53&gt;COUNTIFS($J$2:$J$128,"&gt;0"),"",INDEX($I$2:$I$128,MATCH(53,$L$2:$L$128,0)))</f>
      </c>
      <c r="C74" s="2" t="str">
        <f>IF(53&gt;COUNTIFS($J$2:$J$128,"&gt;0"),"",INDEX($J$2:$J$128,MATCH(53,$L$2:$L$128,0)))</f>
      </c>
      <c r="D74" s="12" t="str">
        <f>IF(53&gt;COUNTIFS($J$2:$J$128,"&gt;0"),"",INDEX($K$2:$K$128,MATCH(53,$L$2:$L$128,0)))</f>
      </c>
      <c r="H74" t="str">
        <v>Clase Azul Durango</v>
      </c>
      <c r="I74" t="n">
        <f>'Bar'!B49</f>
        <v>85</v>
      </c>
      <c r="J74" t="n">
        <f>'Bar'!C49</f>
        <v>0</v>
      </c>
      <c r="K74" t="n">
        <f>'Bar'!D49</f>
        <v>0</v>
      </c>
      <c r="L74" t="n">
        <f>IF(AND(ISNUMBER(J74),J74&gt;0),COUNTIFS($J$2:J74,"&gt;0"),0)</f>
        <v>0</v>
      </c>
    </row>
    <row r="75" ht="40" customHeight="1">
      <c r="A75" s="4" t="str">
        <f>IF(54&gt;COUNTIFS($J$2:$J$128,"&gt;0"),"",INDEX($H$2:$H$128,MATCH(54,$L$2:$L$128,0)))</f>
      </c>
      <c r="B75" s="12" t="str">
        <f>IF(54&gt;COUNTIFS($J$2:$J$128,"&gt;0"),"",INDEX($I$2:$I$128,MATCH(54,$L$2:$L$128,0)))</f>
      </c>
      <c r="C75" s="2" t="str">
        <f>IF(54&gt;COUNTIFS($J$2:$J$128,"&gt;0"),"",INDEX($J$2:$J$128,MATCH(54,$L$2:$L$128,0)))</f>
      </c>
      <c r="D75" s="12" t="str">
        <f>IF(54&gt;COUNTIFS($J$2:$J$128,"&gt;0"),"",INDEX($K$2:$K$128,MATCH(54,$L$2:$L$128,0)))</f>
      </c>
      <c r="H75" t="str">
        <v>Clase Azul Guerrero</v>
      </c>
      <c r="I75" t="n">
        <f>'Bar'!B50</f>
        <v>85</v>
      </c>
      <c r="J75" t="n">
        <f>'Bar'!C50</f>
        <v>0</v>
      </c>
      <c r="K75" t="n">
        <f>'Bar'!D50</f>
        <v>0</v>
      </c>
      <c r="L75" t="n">
        <f>IF(AND(ISNUMBER(J75),J75&gt;0),COUNTIFS($J$2:J75,"&gt;0"),0)</f>
        <v>0</v>
      </c>
    </row>
    <row r="76" ht="40" customHeight="1">
      <c r="A76" s="4" t="str">
        <f>IF(55&gt;COUNTIFS($J$2:$J$128,"&gt;0"),"",INDEX($H$2:$H$128,MATCH(55,$L$2:$L$128,0)))</f>
      </c>
      <c r="B76" s="12" t="str">
        <f>IF(55&gt;COUNTIFS($J$2:$J$128,"&gt;0"),"",INDEX($I$2:$I$128,MATCH(55,$L$2:$L$128,0)))</f>
      </c>
      <c r="C76" s="2" t="str">
        <f>IF(55&gt;COUNTIFS($J$2:$J$128,"&gt;0"),"",INDEX($J$2:$J$128,MATCH(55,$L$2:$L$128,0)))</f>
      </c>
      <c r="D76" s="12" t="str">
        <f>IF(55&gt;COUNTIFS($J$2:$J$128,"&gt;0"),"",INDEX($K$2:$K$128,MATCH(55,$L$2:$L$128,0)))</f>
      </c>
      <c r="H76" t="str">
        <v>Wycliff Brut - 5 oz glass</v>
      </c>
      <c r="I76" t="n">
        <f>'Bar'!B53</f>
        <v>9</v>
      </c>
      <c r="J76" t="n">
        <f>'Bar'!C53</f>
        <v>0</v>
      </c>
      <c r="K76" t="n">
        <f>'Bar'!D53</f>
        <v>0</v>
      </c>
      <c r="L76" t="n">
        <f>IF(AND(ISNUMBER(J76),J76&gt;0),COUNTIFS($J$2:J76,"&gt;0"),0)</f>
        <v>0</v>
      </c>
    </row>
    <row r="77" ht="40" customHeight="1">
      <c r="A77" s="4" t="str">
        <f>IF(56&gt;COUNTIFS($J$2:$J$128,"&gt;0"),"",INDEX($H$2:$H$128,MATCH(56,$L$2:$L$128,0)))</f>
      </c>
      <c r="B77" s="12" t="str">
        <f>IF(56&gt;COUNTIFS($J$2:$J$128,"&gt;0"),"",INDEX($I$2:$I$128,MATCH(56,$L$2:$L$128,0)))</f>
      </c>
      <c r="C77" s="2" t="str">
        <f>IF(56&gt;COUNTIFS($J$2:$J$128,"&gt;0"),"",INDEX($J$2:$J$128,MATCH(56,$L$2:$L$128,0)))</f>
      </c>
      <c r="D77" s="12" t="str">
        <f>IF(56&gt;COUNTIFS($J$2:$J$128,"&gt;0"),"",INDEX($K$2:$K$128,MATCH(56,$L$2:$L$128,0)))</f>
      </c>
      <c r="H77" t="str">
        <v>Wycliff Brut - bottle</v>
      </c>
      <c r="I77" t="n">
        <f>'Bar'!B54</f>
        <v>30</v>
      </c>
      <c r="J77" t="n">
        <f>'Bar'!C54</f>
        <v>0</v>
      </c>
      <c r="K77" t="n">
        <f>'Bar'!D54</f>
        <v>0</v>
      </c>
      <c r="L77" t="n">
        <f>IF(AND(ISNUMBER(J77),J77&gt;0),COUNTIFS($J$2:J77,"&gt;0"),0)</f>
        <v>0</v>
      </c>
    </row>
    <row r="78" ht="40" customHeight="1">
      <c r="A78" s="4" t="str">
        <f>IF(57&gt;COUNTIFS($J$2:$J$128,"&gt;0"),"",INDEX($H$2:$H$128,MATCH(57,$L$2:$L$128,0)))</f>
      </c>
      <c r="B78" s="12" t="str">
        <f>IF(57&gt;COUNTIFS($J$2:$J$128,"&gt;0"),"",INDEX($I$2:$I$128,MATCH(57,$L$2:$L$128,0)))</f>
      </c>
      <c r="C78" s="2" t="str">
        <f>IF(57&gt;COUNTIFS($J$2:$J$128,"&gt;0"),"",INDEX($J$2:$J$128,MATCH(57,$L$2:$L$128,0)))</f>
      </c>
      <c r="D78" s="12" t="str">
        <f>IF(57&gt;COUNTIFS($J$2:$J$128,"&gt;0"),"",INDEX($K$2:$K$128,MATCH(57,$L$2:$L$128,0)))</f>
      </c>
      <c r="H78" t="str">
        <v>La Marca Prosecco - 5 oz glass</v>
      </c>
      <c r="I78" t="n">
        <f>'Bar'!B55</f>
        <v>12</v>
      </c>
      <c r="J78" t="n">
        <f>'Bar'!C55</f>
        <v>0</v>
      </c>
      <c r="K78" t="n">
        <f>'Bar'!D55</f>
        <v>0</v>
      </c>
      <c r="L78" t="n">
        <f>IF(AND(ISNUMBER(J78),J78&gt;0),COUNTIFS($J$2:J78,"&gt;0"),0)</f>
        <v>0</v>
      </c>
    </row>
    <row r="79" ht="40" customHeight="1">
      <c r="A79" s="4" t="str">
        <f>IF(58&gt;COUNTIFS($J$2:$J$128,"&gt;0"),"",INDEX($H$2:$H$128,MATCH(58,$L$2:$L$128,0)))</f>
      </c>
      <c r="B79" s="12" t="str">
        <f>IF(58&gt;COUNTIFS($J$2:$J$128,"&gt;0"),"",INDEX($I$2:$I$128,MATCH(58,$L$2:$L$128,0)))</f>
      </c>
      <c r="C79" s="2" t="str">
        <f>IF(58&gt;COUNTIFS($J$2:$J$128,"&gt;0"),"",INDEX($J$2:$J$128,MATCH(58,$L$2:$L$128,0)))</f>
      </c>
      <c r="D79" s="12" t="str">
        <f>IF(58&gt;COUNTIFS($J$2:$J$128,"&gt;0"),"",INDEX($K$2:$K$128,MATCH(58,$L$2:$L$128,0)))</f>
      </c>
      <c r="H79" t="str">
        <v>La Marca Prosecco - bottle</v>
      </c>
      <c r="I79" t="n">
        <f>'Bar'!B56</f>
        <v>40</v>
      </c>
      <c r="J79" t="n">
        <f>'Bar'!C56</f>
        <v>0</v>
      </c>
      <c r="K79" t="n">
        <f>'Bar'!D56</f>
        <v>0</v>
      </c>
      <c r="L79" t="n">
        <f>IF(AND(ISNUMBER(J79),J79&gt;0),COUNTIFS($J$2:J79,"&gt;0"),0)</f>
        <v>0</v>
      </c>
    </row>
    <row r="80" ht="40" customHeight="1">
      <c r="A80" s="4" t="str">
        <f>IF(59&gt;COUNTIFS($J$2:$J$128,"&gt;0"),"",INDEX($H$2:$H$128,MATCH(59,$L$2:$L$128,0)))</f>
      </c>
      <c r="B80" s="12" t="str">
        <f>IF(59&gt;COUNTIFS($J$2:$J$128,"&gt;0"),"",INDEX($I$2:$I$128,MATCH(59,$L$2:$L$128,0)))</f>
      </c>
      <c r="C80" s="2" t="str">
        <f>IF(59&gt;COUNTIFS($J$2:$J$128,"&gt;0"),"",INDEX($J$2:$J$128,MATCH(59,$L$2:$L$128,0)))</f>
      </c>
      <c r="D80" s="12" t="str">
        <f>IF(59&gt;COUNTIFS($J$2:$J$128,"&gt;0"),"",INDEX($K$2:$K$128,MATCH(59,$L$2:$L$128,0)))</f>
      </c>
      <c r="H80" t="str">
        <v>J Vineyards Sparkling - 5 oz glass</v>
      </c>
      <c r="I80" t="n">
        <f>'Bar'!B57</f>
        <v>14</v>
      </c>
      <c r="J80" t="n">
        <f>'Bar'!C57</f>
        <v>0</v>
      </c>
      <c r="K80" t="n">
        <f>'Bar'!D57</f>
        <v>0</v>
      </c>
      <c r="L80" t="n">
        <f>IF(AND(ISNUMBER(J80),J80&gt;0),COUNTIFS($J$2:J80,"&gt;0"),0)</f>
        <v>0</v>
      </c>
    </row>
    <row r="81" ht="40" customHeight="1">
      <c r="A81" s="4" t="str">
        <f>IF(60&gt;COUNTIFS($J$2:$J$128,"&gt;0"),"",INDEX($H$2:$H$128,MATCH(60,$L$2:$L$128,0)))</f>
      </c>
      <c r="B81" s="12" t="str">
        <f>IF(60&gt;COUNTIFS($J$2:$J$128,"&gt;0"),"",INDEX($I$2:$I$128,MATCH(60,$L$2:$L$128,0)))</f>
      </c>
      <c r="C81" s="2" t="str">
        <f>IF(60&gt;COUNTIFS($J$2:$J$128,"&gt;0"),"",INDEX($J$2:$J$128,MATCH(60,$L$2:$L$128,0)))</f>
      </c>
      <c r="D81" s="12" t="str">
        <f>IF(60&gt;COUNTIFS($J$2:$J$128,"&gt;0"),"",INDEX($K$2:$K$128,MATCH(60,$L$2:$L$128,0)))</f>
      </c>
      <c r="H81" t="str">
        <v>J Vineyards Sparkling - bottle</v>
      </c>
      <c r="I81" t="n">
        <f>'Bar'!B58</f>
        <v>55</v>
      </c>
      <c r="J81" t="n">
        <f>'Bar'!C58</f>
        <v>0</v>
      </c>
      <c r="K81" t="n">
        <f>'Bar'!D58</f>
        <v>0</v>
      </c>
      <c r="L81" t="n">
        <f>IF(AND(ISNUMBER(J81),J81&gt;0),COUNTIFS($J$2:J81,"&gt;0"),0)</f>
        <v>0</v>
      </c>
    </row>
    <row r="82" ht="40" customHeight="1">
      <c r="A82" s="4" t="str">
        <f>IF(61&gt;COUNTIFS($J$2:$J$128,"&gt;0"),"",INDEX($H$2:$H$128,MATCH(61,$L$2:$L$128,0)))</f>
      </c>
      <c r="B82" s="12" t="str">
        <f>IF(61&gt;COUNTIFS($J$2:$J$128,"&gt;0"),"",INDEX($I$2:$I$128,MATCH(61,$L$2:$L$128,0)))</f>
      </c>
      <c r="C82" s="2" t="str">
        <f>IF(61&gt;COUNTIFS($J$2:$J$128,"&gt;0"),"",INDEX($J$2:$J$128,MATCH(61,$L$2:$L$128,0)))</f>
      </c>
      <c r="D82" s="12" t="str">
        <f>IF(61&gt;COUNTIFS($J$2:$J$128,"&gt;0"),"",INDEX($K$2:$K$128,MATCH(61,$L$2:$L$128,0)))</f>
      </c>
      <c r="H82" t="str">
        <v>William Hill Chardonnay - 5 oz glass</v>
      </c>
      <c r="I82" t="n">
        <f>'Bar'!B61</f>
        <v>11</v>
      </c>
      <c r="J82" t="n">
        <f>'Bar'!C61</f>
        <v>0</v>
      </c>
      <c r="K82" t="n">
        <f>'Bar'!D61</f>
        <v>0</v>
      </c>
      <c r="L82" t="n">
        <f>IF(AND(ISNUMBER(J82),J82&gt;0),COUNTIFS($J$2:J82,"&gt;0"),0)</f>
        <v>0</v>
      </c>
    </row>
    <row r="83" ht="40" customHeight="1">
      <c r="A83" s="4" t="str">
        <f>IF(62&gt;COUNTIFS($J$2:$J$128,"&gt;0"),"",INDEX($H$2:$H$128,MATCH(62,$L$2:$L$128,0)))</f>
      </c>
      <c r="B83" s="12" t="str">
        <f>IF(62&gt;COUNTIFS($J$2:$J$128,"&gt;0"),"",INDEX($I$2:$I$128,MATCH(62,$L$2:$L$128,0)))</f>
      </c>
      <c r="C83" s="2" t="str">
        <f>IF(62&gt;COUNTIFS($J$2:$J$128,"&gt;0"),"",INDEX($J$2:$J$128,MATCH(62,$L$2:$L$128,0)))</f>
      </c>
      <c r="D83" s="12" t="str">
        <f>IF(62&gt;COUNTIFS($J$2:$J$128,"&gt;0"),"",INDEX($K$2:$K$128,MATCH(62,$L$2:$L$128,0)))</f>
      </c>
      <c r="H83" t="str">
        <v>William Hill Chardonnay - bottle</v>
      </c>
      <c r="I83" t="n">
        <f>'Bar'!B62</f>
        <v>36</v>
      </c>
      <c r="J83" t="n">
        <f>'Bar'!C62</f>
        <v>0</v>
      </c>
      <c r="K83" t="n">
        <f>'Bar'!D62</f>
        <v>0</v>
      </c>
      <c r="L83" t="n">
        <f>IF(AND(ISNUMBER(J83),J83&gt;0),COUNTIFS($J$2:J83,"&gt;0"),0)</f>
        <v>0</v>
      </c>
    </row>
    <row r="84" ht="40" customHeight="1">
      <c r="A84" s="4" t="str">
        <f>IF(63&gt;COUNTIFS($J$2:$J$128,"&gt;0"),"",INDEX($H$2:$H$128,MATCH(63,$L$2:$L$128,0)))</f>
      </c>
      <c r="B84" s="12" t="str">
        <f>IF(63&gt;COUNTIFS($J$2:$J$128,"&gt;0"),"",INDEX($I$2:$I$128,MATCH(63,$L$2:$L$128,0)))</f>
      </c>
      <c r="C84" s="2" t="str">
        <f>IF(63&gt;COUNTIFS($J$2:$J$128,"&gt;0"),"",INDEX($J$2:$J$128,MATCH(63,$L$2:$L$128,0)))</f>
      </c>
      <c r="D84" s="12" t="str">
        <f>IF(63&gt;COUNTIFS($J$2:$J$128,"&gt;0"),"",INDEX($K$2:$K$128,MATCH(63,$L$2:$L$128,0)))</f>
      </c>
      <c r="H84" t="str">
        <v>Whitehaven Sauvignon Blanc - 5 oz glass</v>
      </c>
      <c r="I84" t="n">
        <f>'Bar'!B63</f>
        <v>13</v>
      </c>
      <c r="J84" t="n">
        <f>'Bar'!C63</f>
        <v>0</v>
      </c>
      <c r="K84" t="n">
        <f>'Bar'!D63</f>
        <v>0</v>
      </c>
      <c r="L84" t="n">
        <f>IF(AND(ISNUMBER(J84),J84&gt;0),COUNTIFS($J$2:J84,"&gt;0"),0)</f>
        <v>0</v>
      </c>
    </row>
    <row r="85" ht="40" customHeight="1">
      <c r="A85" s="4" t="str">
        <f>IF(64&gt;COUNTIFS($J$2:$J$128,"&gt;0"),"",INDEX($H$2:$H$128,MATCH(64,$L$2:$L$128,0)))</f>
      </c>
      <c r="B85" s="12" t="str">
        <f>IF(64&gt;COUNTIFS($J$2:$J$128,"&gt;0"),"",INDEX($I$2:$I$128,MATCH(64,$L$2:$L$128,0)))</f>
      </c>
      <c r="C85" s="2" t="str">
        <f>IF(64&gt;COUNTIFS($J$2:$J$128,"&gt;0"),"",INDEX($J$2:$J$128,MATCH(64,$L$2:$L$128,0)))</f>
      </c>
      <c r="D85" s="12" t="str">
        <f>IF(64&gt;COUNTIFS($J$2:$J$128,"&gt;0"),"",INDEX($K$2:$K$128,MATCH(64,$L$2:$L$128,0)))</f>
      </c>
      <c r="H85" t="str">
        <v>Whitehaven Sauvignon Blanc - bottle</v>
      </c>
      <c r="I85" t="n">
        <f>'Bar'!B64</f>
        <v>60</v>
      </c>
      <c r="J85" t="n">
        <f>'Bar'!C64</f>
        <v>0</v>
      </c>
      <c r="K85" t="n">
        <f>'Bar'!D64</f>
        <v>0</v>
      </c>
      <c r="L85" t="n">
        <f>IF(AND(ISNUMBER(J85),J85&gt;0),COUNTIFS($J$2:J85,"&gt;0"),0)</f>
        <v>0</v>
      </c>
    </row>
    <row r="86" ht="40" customHeight="1">
      <c r="A86" s="4" t="str">
        <f>IF(65&gt;COUNTIFS($J$2:$J$128,"&gt;0"),"",INDEX($H$2:$H$128,MATCH(65,$L$2:$L$128,0)))</f>
      </c>
      <c r="B86" s="12" t="str">
        <f>IF(65&gt;COUNTIFS($J$2:$J$128,"&gt;0"),"",INDEX($I$2:$I$128,MATCH(65,$L$2:$L$128,0)))</f>
      </c>
      <c r="C86" s="2" t="str">
        <f>IF(65&gt;COUNTIFS($J$2:$J$128,"&gt;0"),"",INDEX($J$2:$J$128,MATCH(65,$L$2:$L$128,0)))</f>
      </c>
      <c r="D86" s="12" t="str">
        <f>IF(65&gt;COUNTIFS($J$2:$J$128,"&gt;0"),"",INDEX($K$2:$K$128,MATCH(65,$L$2:$L$128,0)))</f>
      </c>
      <c r="H86" t="str">
        <v>Louis Martini Prati Cabernet - 5 oz glass</v>
      </c>
      <c r="I86" t="n">
        <f>'Bar'!B67</f>
        <v>13</v>
      </c>
      <c r="J86" t="n">
        <f>'Bar'!C67</f>
        <v>0</v>
      </c>
      <c r="K86" t="n">
        <f>'Bar'!D67</f>
        <v>0</v>
      </c>
      <c r="L86" t="n">
        <f>IF(AND(ISNUMBER(J86),J86&gt;0),COUNTIFS($J$2:J86,"&gt;0"),0)</f>
        <v>0</v>
      </c>
    </row>
    <row r="87" ht="40" customHeight="1">
      <c r="A87" s="4" t="str">
        <f>IF(66&gt;COUNTIFS($J$2:$J$128,"&gt;0"),"",INDEX($H$2:$H$128,MATCH(66,$L$2:$L$128,0)))</f>
      </c>
      <c r="B87" s="12" t="str">
        <f>IF(66&gt;COUNTIFS($J$2:$J$128,"&gt;0"),"",INDEX($I$2:$I$128,MATCH(66,$L$2:$L$128,0)))</f>
      </c>
      <c r="C87" s="2" t="str">
        <f>IF(66&gt;COUNTIFS($J$2:$J$128,"&gt;0"),"",INDEX($J$2:$J$128,MATCH(66,$L$2:$L$128,0)))</f>
      </c>
      <c r="D87" s="12" t="str">
        <f>IF(66&gt;COUNTIFS($J$2:$J$128,"&gt;0"),"",INDEX($K$2:$K$128,MATCH(66,$L$2:$L$128,0)))</f>
      </c>
      <c r="H87" t="str">
        <v>Louis Martini Prati Cabernet - bottle</v>
      </c>
      <c r="I87" t="n">
        <f>'Bar'!B68</f>
        <v>55</v>
      </c>
      <c r="J87" t="n">
        <f>'Bar'!C68</f>
        <v>0</v>
      </c>
      <c r="K87" t="n">
        <f>'Bar'!D68</f>
        <v>0</v>
      </c>
      <c r="L87" t="n">
        <f>IF(AND(ISNUMBER(J87),J87&gt;0),COUNTIFS($J$2:J87,"&gt;0"),0)</f>
        <v>0</v>
      </c>
    </row>
    <row r="88" ht="40" customHeight="1">
      <c r="A88" s="4" t="str">
        <f>IF(67&gt;COUNTIFS($J$2:$J$128,"&gt;0"),"",INDEX($H$2:$H$128,MATCH(67,$L$2:$L$128,0)))</f>
      </c>
      <c r="B88" s="12" t="str">
        <f>IF(67&gt;COUNTIFS($J$2:$J$128,"&gt;0"),"",INDEX($I$2:$I$128,MATCH(67,$L$2:$L$128,0)))</f>
      </c>
      <c r="C88" s="2" t="str">
        <f>IF(67&gt;COUNTIFS($J$2:$J$128,"&gt;0"),"",INDEX($J$2:$J$128,MATCH(67,$L$2:$L$128,0)))</f>
      </c>
      <c r="D88" s="12" t="str">
        <f>IF(67&gt;COUNTIFS($J$2:$J$128,"&gt;0"),"",INDEX($K$2:$K$128,MATCH(67,$L$2:$L$128,0)))</f>
      </c>
      <c r="H88" t="str">
        <v>Secretos - 5 oz glass</v>
      </c>
      <c r="I88" t="n">
        <f>'Bar'!B69</f>
        <v>13</v>
      </c>
      <c r="J88" t="n">
        <f>'Bar'!C69</f>
        <v>0</v>
      </c>
      <c r="K88" t="n">
        <f>'Bar'!D69</f>
        <v>0</v>
      </c>
      <c r="L88" t="n">
        <f>IF(AND(ISNUMBER(J88),J88&gt;0),COUNTIFS($J$2:J88,"&gt;0"),0)</f>
        <v>0</v>
      </c>
    </row>
    <row r="89" ht="40" customHeight="1">
      <c r="A89" s="4" t="str">
        <f>IF(68&gt;COUNTIFS($J$2:$J$128,"&gt;0"),"",INDEX($H$2:$H$128,MATCH(68,$L$2:$L$128,0)))</f>
      </c>
      <c r="B89" s="12" t="str">
        <f>IF(68&gt;COUNTIFS($J$2:$J$128,"&gt;0"),"",INDEX($I$2:$I$128,MATCH(68,$L$2:$L$128,0)))</f>
      </c>
      <c r="C89" s="2" t="str">
        <f>IF(68&gt;COUNTIFS($J$2:$J$128,"&gt;0"),"",INDEX($J$2:$J$128,MATCH(68,$L$2:$L$128,0)))</f>
      </c>
      <c r="D89" s="12" t="str">
        <f>IF(68&gt;COUNTIFS($J$2:$J$128,"&gt;0"),"",INDEX($K$2:$K$128,MATCH(68,$L$2:$L$128,0)))</f>
      </c>
      <c r="H89" t="str">
        <v>Secretos - bottle</v>
      </c>
      <c r="I89" t="n">
        <f>'Bar'!B70</f>
        <v>55</v>
      </c>
      <c r="J89" t="n">
        <f>'Bar'!C70</f>
        <v>0</v>
      </c>
      <c r="K89" t="n">
        <f>'Bar'!D70</f>
        <v>0</v>
      </c>
      <c r="L89" t="n">
        <f>IF(AND(ISNUMBER(J89),J89&gt;0),COUNTIFS($J$2:J89,"&gt;0"),0)</f>
        <v>0</v>
      </c>
    </row>
    <row r="90" ht="40" customHeight="1">
      <c r="A90" s="4" t="str">
        <f>IF(69&gt;COUNTIFS($J$2:$J$128,"&gt;0"),"",INDEX($H$2:$H$128,MATCH(69,$L$2:$L$128,0)))</f>
      </c>
      <c r="B90" s="12" t="str">
        <f>IF(69&gt;COUNTIFS($J$2:$J$128,"&gt;0"),"",INDEX($I$2:$I$128,MATCH(69,$L$2:$L$128,0)))</f>
      </c>
      <c r="C90" s="2" t="str">
        <f>IF(69&gt;COUNTIFS($J$2:$J$128,"&gt;0"),"",INDEX($J$2:$J$128,MATCH(69,$L$2:$L$128,0)))</f>
      </c>
      <c r="D90" s="12" t="str">
        <f>IF(69&gt;COUNTIFS($J$2:$J$128,"&gt;0"),"",INDEX($K$2:$K$128,MATCH(69,$L$2:$L$128,0)))</f>
      </c>
      <c r="H90" t="str">
        <v>Naraghi 2019 - 5 oz glass</v>
      </c>
      <c r="I90" t="n">
        <f>'Bar'!B71</f>
        <v>15</v>
      </c>
      <c r="J90" t="n">
        <f>'Bar'!C71</f>
        <v>0</v>
      </c>
      <c r="K90" t="n">
        <f>'Bar'!D71</f>
        <v>0</v>
      </c>
      <c r="L90" t="n">
        <f>IF(AND(ISNUMBER(J90),J90&gt;0),COUNTIFS($J$2:J90,"&gt;0"),0)</f>
        <v>0</v>
      </c>
    </row>
    <row r="91" ht="40" customHeight="1">
      <c r="A91" s="4" t="str">
        <f>IF(70&gt;COUNTIFS($J$2:$J$128,"&gt;0"),"",INDEX($H$2:$H$128,MATCH(70,$L$2:$L$128,0)))</f>
      </c>
      <c r="B91" s="12" t="str">
        <f>IF(70&gt;COUNTIFS($J$2:$J$128,"&gt;0"),"",INDEX($I$2:$I$128,MATCH(70,$L$2:$L$128,0)))</f>
      </c>
      <c r="C91" s="2" t="str">
        <f>IF(70&gt;COUNTIFS($J$2:$J$128,"&gt;0"),"",INDEX($J$2:$J$128,MATCH(70,$L$2:$L$128,0)))</f>
      </c>
      <c r="D91" s="12" t="str">
        <f>IF(70&gt;COUNTIFS($J$2:$J$128,"&gt;0"),"",INDEX($K$2:$K$128,MATCH(70,$L$2:$L$128,0)))</f>
      </c>
      <c r="H91" t="str">
        <v>Naraghi 2019 - bottle</v>
      </c>
      <c r="I91" t="n">
        <f>'Bar'!B72</f>
        <v>75</v>
      </c>
      <c r="J91" t="n">
        <f>'Bar'!C72</f>
        <v>0</v>
      </c>
      <c r="K91" t="n">
        <f>'Bar'!D72</f>
        <v>0</v>
      </c>
      <c r="L91" t="n">
        <f>IF(AND(ISNUMBER(J91),J91&gt;0),COUNTIFS($J$2:J91,"&gt;0"),0)</f>
        <v>0</v>
      </c>
    </row>
    <row r="92" ht="40" customHeight="1">
      <c r="A92" s="4" t="str">
        <f>IF(71&gt;COUNTIFS($J$2:$J$128,"&gt;0"),"",INDEX($H$2:$H$128,MATCH(71,$L$2:$L$128,0)))</f>
      </c>
      <c r="B92" s="12" t="str">
        <f>IF(71&gt;COUNTIFS($J$2:$J$128,"&gt;0"),"",INDEX($I$2:$I$128,MATCH(71,$L$2:$L$128,0)))</f>
      </c>
      <c r="C92" s="2" t="str">
        <f>IF(71&gt;COUNTIFS($J$2:$J$128,"&gt;0"),"",INDEX($J$2:$J$128,MATCH(71,$L$2:$L$128,0)))</f>
      </c>
      <c r="D92" s="12" t="str">
        <f>IF(71&gt;COUNTIFS($J$2:$J$128,"&gt;0"),"",INDEX($K$2:$K$128,MATCH(71,$L$2:$L$128,0)))</f>
      </c>
      <c r="H92" t="str">
        <v>Frank Family Vineyards Cabernet - 5 oz glass</v>
      </c>
      <c r="I92" t="n">
        <f>'Bar'!B73</f>
        <v>20</v>
      </c>
      <c r="J92" t="n">
        <f>'Bar'!C73</f>
        <v>0</v>
      </c>
      <c r="K92" t="n">
        <f>'Bar'!D73</f>
        <v>0</v>
      </c>
      <c r="L92" t="n">
        <f>IF(AND(ISNUMBER(J92),J92&gt;0),COUNTIFS($J$2:J92,"&gt;0"),0)</f>
        <v>0</v>
      </c>
    </row>
    <row r="93" ht="40" customHeight="1">
      <c r="A93" s="4" t="str">
        <f>IF(72&gt;COUNTIFS($J$2:$J$128,"&gt;0"),"",INDEX($H$2:$H$128,MATCH(72,$L$2:$L$128,0)))</f>
      </c>
      <c r="B93" s="12" t="str">
        <f>IF(72&gt;COUNTIFS($J$2:$J$128,"&gt;0"),"",INDEX($I$2:$I$128,MATCH(72,$L$2:$L$128,0)))</f>
      </c>
      <c r="C93" s="2" t="str">
        <f>IF(72&gt;COUNTIFS($J$2:$J$128,"&gt;0"),"",INDEX($J$2:$J$128,MATCH(72,$L$2:$L$128,0)))</f>
      </c>
      <c r="D93" s="12" t="str">
        <f>IF(72&gt;COUNTIFS($J$2:$J$128,"&gt;0"),"",INDEX($K$2:$K$128,MATCH(72,$L$2:$L$128,0)))</f>
      </c>
      <c r="H93" t="str">
        <v>Frank Family Vineyards Cabernet - bottle</v>
      </c>
      <c r="I93" t="n">
        <f>'Bar'!B74</f>
        <v>100</v>
      </c>
      <c r="J93" t="n">
        <f>'Bar'!C74</f>
        <v>0</v>
      </c>
      <c r="K93" t="n">
        <f>'Bar'!D74</f>
        <v>0</v>
      </c>
      <c r="L93" t="n">
        <f>IF(AND(ISNUMBER(J93),J93&gt;0),COUNTIFS($J$2:J93,"&gt;0"),0)</f>
        <v>0</v>
      </c>
    </row>
    <row r="94" ht="40" customHeight="1">
      <c r="A94" s="4" t="str">
        <f>IF(73&gt;COUNTIFS($J$2:$J$128,"&gt;0"),"",INDEX($H$2:$H$128,MATCH(73,$L$2:$L$128,0)))</f>
      </c>
      <c r="B94" s="12" t="str">
        <f>IF(73&gt;COUNTIFS($J$2:$J$128,"&gt;0"),"",INDEX($I$2:$I$128,MATCH(73,$L$2:$L$128,0)))</f>
      </c>
      <c r="C94" s="2" t="str">
        <f>IF(73&gt;COUNTIFS($J$2:$J$128,"&gt;0"),"",INDEX($J$2:$J$128,MATCH(73,$L$2:$L$128,0)))</f>
      </c>
      <c r="D94" s="12" t="str">
        <f>IF(73&gt;COUNTIFS($J$2:$J$128,"&gt;0"),"",INDEX($K$2:$K$128,MATCH(73,$L$2:$L$128,0)))</f>
      </c>
      <c r="H94" t="str">
        <v>Orin Swift Bloodlines - 5 oz glass</v>
      </c>
      <c r="I94" t="n">
        <f>'Bar'!B75</f>
        <v>25</v>
      </c>
      <c r="J94" t="n">
        <f>'Bar'!C75</f>
        <v>0</v>
      </c>
      <c r="K94" t="n">
        <f>'Bar'!D75</f>
        <v>0</v>
      </c>
      <c r="L94" t="n">
        <f>IF(AND(ISNUMBER(J94),J94&gt;0),COUNTIFS($J$2:J94,"&gt;0"),0)</f>
        <v>0</v>
      </c>
    </row>
    <row r="95" ht="40" customHeight="1">
      <c r="A95" s="4" t="str">
        <f>IF(74&gt;COUNTIFS($J$2:$J$128,"&gt;0"),"",INDEX($H$2:$H$128,MATCH(74,$L$2:$L$128,0)))</f>
      </c>
      <c r="B95" s="12" t="str">
        <f>IF(74&gt;COUNTIFS($J$2:$J$128,"&gt;0"),"",INDEX($I$2:$I$128,MATCH(74,$L$2:$L$128,0)))</f>
      </c>
      <c r="C95" s="2" t="str">
        <f>IF(74&gt;COUNTIFS($J$2:$J$128,"&gt;0"),"",INDEX($J$2:$J$128,MATCH(74,$L$2:$L$128,0)))</f>
      </c>
      <c r="D95" s="12" t="str">
        <f>IF(74&gt;COUNTIFS($J$2:$J$128,"&gt;0"),"",INDEX($K$2:$K$128,MATCH(74,$L$2:$L$128,0)))</f>
      </c>
      <c r="H95" t="str">
        <v>Orin Swift Bloodlines - bottle</v>
      </c>
      <c r="I95" t="n">
        <f>'Bar'!B76</f>
        <v>125</v>
      </c>
      <c r="J95" t="n">
        <f>'Bar'!C76</f>
        <v>0</v>
      </c>
      <c r="K95" t="n">
        <f>'Bar'!D76</f>
        <v>0</v>
      </c>
      <c r="L95" t="n">
        <f>IF(AND(ISNUMBER(J95),J95&gt;0),COUNTIFS($J$2:J95,"&gt;0"),0)</f>
        <v>0</v>
      </c>
    </row>
    <row r="96" ht="40" customHeight="1">
      <c r="A96" s="4" t="str">
        <f>IF(75&gt;COUNTIFS($J$2:$J$128,"&gt;0"),"",INDEX($H$2:$H$128,MATCH(75,$L$2:$L$128,0)))</f>
      </c>
      <c r="B96" s="12" t="str">
        <f>IF(75&gt;COUNTIFS($J$2:$J$128,"&gt;0"),"",INDEX($I$2:$I$128,MATCH(75,$L$2:$L$128,0)))</f>
      </c>
      <c r="C96" s="2" t="str">
        <f>IF(75&gt;COUNTIFS($J$2:$J$128,"&gt;0"),"",INDEX($J$2:$J$128,MATCH(75,$L$2:$L$128,0)))</f>
      </c>
      <c r="D96" s="12" t="str">
        <f>IF(75&gt;COUNTIFS($J$2:$J$128,"&gt;0"),"",INDEX($K$2:$K$128,MATCH(75,$L$2:$L$128,0)))</f>
      </c>
      <c r="H96" t="str">
        <v>Orin Swift 8 Years in the Desert - bottle</v>
      </c>
      <c r="I96" t="n">
        <f>'Bar'!B77</f>
        <v>145</v>
      </c>
      <c r="J96" t="n">
        <f>'Bar'!C77</f>
        <v>0</v>
      </c>
      <c r="K96" t="n">
        <f>'Bar'!D77</f>
        <v>0</v>
      </c>
      <c r="L96" t="n">
        <f>IF(AND(ISNUMBER(J96),J96&gt;0),COUNTIFS($J$2:J96,"&gt;0"),0)</f>
        <v>0</v>
      </c>
    </row>
    <row r="97" ht="40" customHeight="1">
      <c r="A97" s="4" t="str">
        <f>IF(76&gt;COUNTIFS($J$2:$J$128,"&gt;0"),"",INDEX($H$2:$H$128,MATCH(76,$L$2:$L$128,0)))</f>
      </c>
      <c r="B97" s="12" t="str">
        <f>IF(76&gt;COUNTIFS($J$2:$J$128,"&gt;0"),"",INDEX($I$2:$I$128,MATCH(76,$L$2:$L$128,0)))</f>
      </c>
      <c r="C97" s="2" t="str">
        <f>IF(76&gt;COUNTIFS($J$2:$J$128,"&gt;0"),"",INDEX($J$2:$J$128,MATCH(76,$L$2:$L$128,0)))</f>
      </c>
      <c r="D97" s="12" t="str">
        <f>IF(76&gt;COUNTIFS($J$2:$J$128,"&gt;0"),"",INDEX($K$2:$K$128,MATCH(76,$L$2:$L$128,0)))</f>
      </c>
      <c r="H97" t="str">
        <v>Orin Swift Advice From John - bottle</v>
      </c>
      <c r="I97" t="n">
        <f>'Bar'!B78</f>
        <v>145</v>
      </c>
      <c r="J97" t="n">
        <f>'Bar'!C78</f>
        <v>0</v>
      </c>
      <c r="K97" t="n">
        <f>'Bar'!D78</f>
        <v>0</v>
      </c>
      <c r="L97" t="n">
        <f>IF(AND(ISNUMBER(J97),J97&gt;0),COUNTIFS($J$2:J97,"&gt;0"),0)</f>
        <v>0</v>
      </c>
    </row>
    <row r="98" ht="40" customHeight="1">
      <c r="A98" s="4" t="str">
        <f>IF(77&gt;COUNTIFS($J$2:$J$128,"&gt;0"),"",INDEX($H$2:$H$128,MATCH(77,$L$2:$L$128,0)))</f>
      </c>
      <c r="B98" s="12" t="str">
        <f>IF(77&gt;COUNTIFS($J$2:$J$128,"&gt;0"),"",INDEX($I$2:$I$128,MATCH(77,$L$2:$L$128,0)))</f>
      </c>
      <c r="C98" s="2" t="str">
        <f>IF(77&gt;COUNTIFS($J$2:$J$128,"&gt;0"),"",INDEX($J$2:$J$128,MATCH(77,$L$2:$L$128,0)))</f>
      </c>
      <c r="D98" s="12" t="str">
        <f>IF(77&gt;COUNTIFS($J$2:$J$128,"&gt;0"),"",INDEX($K$2:$K$128,MATCH(77,$L$2:$L$128,0)))</f>
      </c>
      <c r="H98" t="str">
        <v>Silver Oak Cabernet - bottle</v>
      </c>
      <c r="I98" t="n">
        <f>'Bar'!B79</f>
        <v>200</v>
      </c>
      <c r="J98" t="n">
        <f>'Bar'!C79</f>
        <v>0</v>
      </c>
      <c r="K98" t="n">
        <f>'Bar'!D79</f>
        <v>0</v>
      </c>
      <c r="L98" t="n">
        <f>IF(AND(ISNUMBER(J98),J98&gt;0),COUNTIFS($J$2:J98,"&gt;0"),0)</f>
        <v>0</v>
      </c>
    </row>
    <row r="99" ht="40" customHeight="1">
      <c r="A99" s="4" t="str">
        <f>IF(78&gt;COUNTIFS($J$2:$J$128,"&gt;0"),"",INDEX($H$2:$H$128,MATCH(78,$L$2:$L$128,0)))</f>
      </c>
      <c r="B99" s="12" t="str">
        <f>IF(78&gt;COUNTIFS($J$2:$J$128,"&gt;0"),"",INDEX($I$2:$I$128,MATCH(78,$L$2:$L$128,0)))</f>
      </c>
      <c r="C99" s="2" t="str">
        <f>IF(78&gt;COUNTIFS($J$2:$J$128,"&gt;0"),"",INDEX($J$2:$J$128,MATCH(78,$L$2:$L$128,0)))</f>
      </c>
      <c r="D99" s="12" t="str">
        <f>IF(78&gt;COUNTIFS($J$2:$J$128,"&gt;0"),"",INDEX($K$2:$K$128,MATCH(78,$L$2:$L$128,0)))</f>
      </c>
      <c r="H99" t="str">
        <v>Americano</v>
      </c>
      <c r="I99" t="n">
        <f>'Cafecito'!B9</f>
        <v>4</v>
      </c>
      <c r="J99" t="n">
        <f>'Cafecito'!C9</f>
        <v>0</v>
      </c>
      <c r="K99" t="n">
        <f>'Cafecito'!D9</f>
        <v>0</v>
      </c>
      <c r="L99" t="n">
        <f>IF(AND(ISNUMBER(J99),J99&gt;0),COUNTIFS($J$2:J99,"&gt;0"),0)</f>
        <v>0</v>
      </c>
    </row>
    <row r="100" ht="40" customHeight="1">
      <c r="A100" s="4" t="str">
        <f>IF(79&gt;COUNTIFS($J$2:$J$128,"&gt;0"),"",INDEX($H$2:$H$128,MATCH(79,$L$2:$L$128,0)))</f>
      </c>
      <c r="B100" s="12" t="str">
        <f>IF(79&gt;COUNTIFS($J$2:$J$128,"&gt;0"),"",INDEX($I$2:$I$128,MATCH(79,$L$2:$L$128,0)))</f>
      </c>
      <c r="C100" s="2" t="str">
        <f>IF(79&gt;COUNTIFS($J$2:$J$128,"&gt;0"),"",INDEX($J$2:$J$128,MATCH(79,$L$2:$L$128,0)))</f>
      </c>
      <c r="D100" s="12" t="str">
        <f>IF(79&gt;COUNTIFS($J$2:$J$128,"&gt;0"),"",INDEX($K$2:$K$128,MATCH(79,$L$2:$L$128,0)))</f>
      </c>
      <c r="H100" t="str">
        <v>Cappuccino</v>
      </c>
      <c r="I100" t="n">
        <f>'Cafecito'!B10</f>
        <v>6</v>
      </c>
      <c r="J100" t="n">
        <f>'Cafecito'!C10</f>
        <v>0</v>
      </c>
      <c r="K100" t="n">
        <f>'Cafecito'!D10</f>
        <v>0</v>
      </c>
      <c r="L100" t="n">
        <f>IF(AND(ISNUMBER(J100),J100&gt;0),COUNTIFS($J$2:J100,"&gt;0"),0)</f>
        <v>0</v>
      </c>
    </row>
    <row r="101" ht="40" customHeight="1">
      <c r="A101" s="4" t="str">
        <f>IF(80&gt;COUNTIFS($J$2:$J$128,"&gt;0"),"",INDEX($H$2:$H$128,MATCH(80,$L$2:$L$128,0)))</f>
      </c>
      <c r="B101" s="12" t="str">
        <f>IF(80&gt;COUNTIFS($J$2:$J$128,"&gt;0"),"",INDEX($I$2:$I$128,MATCH(80,$L$2:$L$128,0)))</f>
      </c>
      <c r="C101" s="2" t="str">
        <f>IF(80&gt;COUNTIFS($J$2:$J$128,"&gt;0"),"",INDEX($J$2:$J$128,MATCH(80,$L$2:$L$128,0)))</f>
      </c>
      <c r="D101" s="12" t="str">
        <f>IF(80&gt;COUNTIFS($J$2:$J$128,"&gt;0"),"",INDEX($K$2:$K$128,MATCH(80,$L$2:$L$128,0)))</f>
      </c>
      <c r="H101" t="str">
        <v>Caramel Macchiato</v>
      </c>
      <c r="I101" t="n">
        <f>'Cafecito'!B11</f>
        <v>6.5</v>
      </c>
      <c r="J101" t="n">
        <f>'Cafecito'!C11</f>
        <v>0</v>
      </c>
      <c r="K101" t="n">
        <f>'Cafecito'!D11</f>
        <v>0</v>
      </c>
      <c r="L101" t="n">
        <f>IF(AND(ISNUMBER(J101),J101&gt;0),COUNTIFS($J$2:J101,"&gt;0"),0)</f>
        <v>0</v>
      </c>
    </row>
    <row r="102" ht="40" customHeight="1">
      <c r="A102" s="4" t="str">
        <f>IF(81&gt;COUNTIFS($J$2:$J$128,"&gt;0"),"",INDEX($H$2:$H$128,MATCH(81,$L$2:$L$128,0)))</f>
      </c>
      <c r="B102" s="12" t="str">
        <f>IF(81&gt;COUNTIFS($J$2:$J$128,"&gt;0"),"",INDEX($I$2:$I$128,MATCH(81,$L$2:$L$128,0)))</f>
      </c>
      <c r="C102" s="2" t="str">
        <f>IF(81&gt;COUNTIFS($J$2:$J$128,"&gt;0"),"",INDEX($J$2:$J$128,MATCH(81,$L$2:$L$128,0)))</f>
      </c>
      <c r="D102" s="12" t="str">
        <f>IF(81&gt;COUNTIFS($J$2:$J$128,"&gt;0"),"",INDEX($K$2:$K$128,MATCH(81,$L$2:$L$128,0)))</f>
      </c>
      <c r="H102" t="str">
        <v>Cortado</v>
      </c>
      <c r="I102" t="n">
        <f>'Cafecito'!B12</f>
        <v>4.5</v>
      </c>
      <c r="J102" t="n">
        <f>'Cafecito'!C12</f>
        <v>0</v>
      </c>
      <c r="K102" t="n">
        <f>'Cafecito'!D12</f>
        <v>0</v>
      </c>
      <c r="L102" t="n">
        <f>IF(AND(ISNUMBER(J102),J102&gt;0),COUNTIFS($J$2:J102,"&gt;0"),0)</f>
        <v>0</v>
      </c>
    </row>
    <row r="103" ht="40" customHeight="1">
      <c r="A103" s="4" t="str">
        <f>IF(82&gt;COUNTIFS($J$2:$J$128,"&gt;0"),"",INDEX($H$2:$H$128,MATCH(82,$L$2:$L$128,0)))</f>
      </c>
      <c r="B103" s="12" t="str">
        <f>IF(82&gt;COUNTIFS($J$2:$J$128,"&gt;0"),"",INDEX($I$2:$I$128,MATCH(82,$L$2:$L$128,0)))</f>
      </c>
      <c r="C103" s="2" t="str">
        <f>IF(82&gt;COUNTIFS($J$2:$J$128,"&gt;0"),"",INDEX($J$2:$J$128,MATCH(82,$L$2:$L$128,0)))</f>
      </c>
      <c r="D103" s="12" t="str">
        <f>IF(82&gt;COUNTIFS($J$2:$J$128,"&gt;0"),"",INDEX($K$2:$K$128,MATCH(82,$L$2:$L$128,0)))</f>
      </c>
      <c r="H103" t="str">
        <v>Decaf Coffee</v>
      </c>
      <c r="I103" t="n">
        <f>'Cafecito'!B13</f>
        <v>3.99</v>
      </c>
      <c r="J103" t="n">
        <f>'Cafecito'!C13</f>
        <v>0</v>
      </c>
      <c r="K103" t="n">
        <f>'Cafecito'!D13</f>
        <v>0</v>
      </c>
      <c r="L103" t="n">
        <f>IF(AND(ISNUMBER(J103),J103&gt;0),COUNTIFS($J$2:J103,"&gt;0"),0)</f>
        <v>0</v>
      </c>
    </row>
    <row r="104" ht="40" customHeight="1">
      <c r="A104" s="4" t="str">
        <f>IF(83&gt;COUNTIFS($J$2:$J$128,"&gt;0"),"",INDEX($H$2:$H$128,MATCH(83,$L$2:$L$128,0)))</f>
      </c>
      <c r="B104" s="12" t="str">
        <f>IF(83&gt;COUNTIFS($J$2:$J$128,"&gt;0"),"",INDEX($I$2:$I$128,MATCH(83,$L$2:$L$128,0)))</f>
      </c>
      <c r="C104" s="2" t="str">
        <f>IF(83&gt;COUNTIFS($J$2:$J$128,"&gt;0"),"",INDEX($J$2:$J$128,MATCH(83,$L$2:$L$128,0)))</f>
      </c>
      <c r="D104" s="12" t="str">
        <f>IF(83&gt;COUNTIFS($J$2:$J$128,"&gt;0"),"",INDEX($K$2:$K$128,MATCH(83,$L$2:$L$128,0)))</f>
      </c>
      <c r="H104" t="str">
        <v>Dirty Chai Latte</v>
      </c>
      <c r="I104" t="n">
        <f>'Cafecito'!B14</f>
        <v>6.5</v>
      </c>
      <c r="J104" t="n">
        <f>'Cafecito'!C14</f>
        <v>0</v>
      </c>
      <c r="K104" t="n">
        <f>'Cafecito'!D14</f>
        <v>0</v>
      </c>
      <c r="L104" t="n">
        <f>IF(AND(ISNUMBER(J104),J104&gt;0),COUNTIFS($J$2:J104,"&gt;0"),0)</f>
        <v>0</v>
      </c>
    </row>
    <row r="105" ht="40" customHeight="1">
      <c r="A105" s="4" t="str">
        <f>IF(84&gt;COUNTIFS($J$2:$J$128,"&gt;0"),"",INDEX($H$2:$H$128,MATCH(84,$L$2:$L$128,0)))</f>
      </c>
      <c r="B105" s="12" t="str">
        <f>IF(84&gt;COUNTIFS($J$2:$J$128,"&gt;0"),"",INDEX($I$2:$I$128,MATCH(84,$L$2:$L$128,0)))</f>
      </c>
      <c r="C105" s="2" t="str">
        <f>IF(84&gt;COUNTIFS($J$2:$J$128,"&gt;0"),"",INDEX($J$2:$J$128,MATCH(84,$L$2:$L$128,0)))</f>
      </c>
      <c r="D105" s="12" t="str">
        <f>IF(84&gt;COUNTIFS($J$2:$J$128,"&gt;0"),"",INDEX($K$2:$K$128,MATCH(84,$L$2:$L$128,0)))</f>
      </c>
      <c r="H105" t="str">
        <v>Espresso Double</v>
      </c>
      <c r="I105" t="n">
        <f>'Cafecito'!B15</f>
        <v>2</v>
      </c>
      <c r="J105" t="n">
        <f>'Cafecito'!C15</f>
        <v>0</v>
      </c>
      <c r="K105" t="n">
        <f>'Cafecito'!D15</f>
        <v>0</v>
      </c>
      <c r="L105" t="n">
        <f>IF(AND(ISNUMBER(J105),J105&gt;0),COUNTIFS($J$2:J105,"&gt;0"),0)</f>
        <v>0</v>
      </c>
    </row>
    <row r="106" ht="40" customHeight="1">
      <c r="A106" s="4" t="str">
        <f>IF(85&gt;COUNTIFS($J$2:$J$128,"&gt;0"),"",INDEX($H$2:$H$128,MATCH(85,$L$2:$L$128,0)))</f>
      </c>
      <c r="B106" s="12" t="str">
        <f>IF(85&gt;COUNTIFS($J$2:$J$128,"&gt;0"),"",INDEX($I$2:$I$128,MATCH(85,$L$2:$L$128,0)))</f>
      </c>
      <c r="C106" s="2" t="str">
        <f>IF(85&gt;COUNTIFS($J$2:$J$128,"&gt;0"),"",INDEX($J$2:$J$128,MATCH(85,$L$2:$L$128,0)))</f>
      </c>
      <c r="D106" s="12" t="str">
        <f>IF(85&gt;COUNTIFS($J$2:$J$128,"&gt;0"),"",INDEX($K$2:$K$128,MATCH(85,$L$2:$L$128,0)))</f>
      </c>
      <c r="H106" t="str">
        <v>Latte</v>
      </c>
      <c r="I106" t="n">
        <f>'Cafecito'!B16</f>
        <v>6</v>
      </c>
      <c r="J106" t="n">
        <f>'Cafecito'!C16</f>
        <v>0</v>
      </c>
      <c r="K106" t="n">
        <f>'Cafecito'!D16</f>
        <v>0</v>
      </c>
      <c r="L106" t="n">
        <f>IF(AND(ISNUMBER(J106),J106&gt;0),COUNTIFS($J$2:J106,"&gt;0"),0)</f>
        <v>0</v>
      </c>
    </row>
    <row r="107" ht="40" customHeight="1">
      <c r="A107" s="4" t="str">
        <f>IF(86&gt;COUNTIFS($J$2:$J$128,"&gt;0"),"",INDEX($H$2:$H$128,MATCH(86,$L$2:$L$128,0)))</f>
      </c>
      <c r="B107" s="12" t="str">
        <f>IF(86&gt;COUNTIFS($J$2:$J$128,"&gt;0"),"",INDEX($I$2:$I$128,MATCH(86,$L$2:$L$128,0)))</f>
      </c>
      <c r="C107" s="2" t="str">
        <f>IF(86&gt;COUNTIFS($J$2:$J$128,"&gt;0"),"",INDEX($J$2:$J$128,MATCH(86,$L$2:$L$128,0)))</f>
      </c>
      <c r="D107" s="12" t="str">
        <f>IF(86&gt;COUNTIFS($J$2:$J$128,"&gt;0"),"",INDEX($K$2:$K$128,MATCH(86,$L$2:$L$128,0)))</f>
      </c>
      <c r="H107" t="str">
        <v>Macchiato</v>
      </c>
      <c r="I107" t="n">
        <f>'Cafecito'!B17</f>
        <v>5</v>
      </c>
      <c r="J107" t="n">
        <f>'Cafecito'!C17</f>
        <v>0</v>
      </c>
      <c r="K107" t="n">
        <f>'Cafecito'!D17</f>
        <v>0</v>
      </c>
      <c r="L107" t="n">
        <f>IF(AND(ISNUMBER(J107),J107&gt;0),COUNTIFS($J$2:J107,"&gt;0"),0)</f>
        <v>0</v>
      </c>
    </row>
    <row r="108" ht="40" customHeight="1">
      <c r="A108" s="4" t="str">
        <f>IF(87&gt;COUNTIFS($J$2:$J$128,"&gt;0"),"",INDEX($H$2:$H$128,MATCH(87,$L$2:$L$128,0)))</f>
      </c>
      <c r="B108" s="12" t="str">
        <f>IF(87&gt;COUNTIFS($J$2:$J$128,"&gt;0"),"",INDEX($I$2:$I$128,MATCH(87,$L$2:$L$128,0)))</f>
      </c>
      <c r="C108" s="2" t="str">
        <f>IF(87&gt;COUNTIFS($J$2:$J$128,"&gt;0"),"",INDEX($J$2:$J$128,MATCH(87,$L$2:$L$128,0)))</f>
      </c>
      <c r="D108" s="12" t="str">
        <f>IF(87&gt;COUNTIFS($J$2:$J$128,"&gt;0"),"",INDEX($K$2:$K$128,MATCH(87,$L$2:$L$128,0)))</f>
      </c>
      <c r="H108" t="str">
        <v>Mi Abuelita Hot Chocolate</v>
      </c>
      <c r="I108" t="n">
        <f>'Cafecito'!B18</f>
        <v>5</v>
      </c>
      <c r="J108" t="n">
        <f>'Cafecito'!C18</f>
        <v>0</v>
      </c>
      <c r="K108" t="n">
        <f>'Cafecito'!D18</f>
        <v>0</v>
      </c>
      <c r="L108" t="n">
        <f>IF(AND(ISNUMBER(J108),J108&gt;0),COUNTIFS($J$2:J108,"&gt;0"),0)</f>
        <v>0</v>
      </c>
    </row>
    <row r="109" ht="40" customHeight="1">
      <c r="A109" s="4" t="str">
        <f>IF(88&gt;COUNTIFS($J$2:$J$128,"&gt;0"),"",INDEX($H$2:$H$128,MATCH(88,$L$2:$L$128,0)))</f>
      </c>
      <c r="B109" s="12" t="str">
        <f>IF(88&gt;COUNTIFS($J$2:$J$128,"&gt;0"),"",INDEX($I$2:$I$128,MATCH(88,$L$2:$L$128,0)))</f>
      </c>
      <c r="C109" s="2" t="str">
        <f>IF(88&gt;COUNTIFS($J$2:$J$128,"&gt;0"),"",INDEX($J$2:$J$128,MATCH(88,$L$2:$L$128,0)))</f>
      </c>
      <c r="D109" s="12" t="str">
        <f>IF(88&gt;COUNTIFS($J$2:$J$128,"&gt;0"),"",INDEX($K$2:$K$128,MATCH(88,$L$2:$L$128,0)))</f>
      </c>
      <c r="H109" t="str">
        <v>Mi Abuelita Mocha</v>
      </c>
      <c r="I109" t="n">
        <f>'Cafecito'!B19</f>
        <v>7</v>
      </c>
      <c r="J109" t="n">
        <f>'Cafecito'!C19</f>
        <v>0</v>
      </c>
      <c r="K109" t="n">
        <f>'Cafecito'!D19</f>
        <v>0</v>
      </c>
      <c r="L109" t="n">
        <f>IF(AND(ISNUMBER(J109),J109&gt;0),COUNTIFS($J$2:J109,"&gt;0"),0)</f>
        <v>0</v>
      </c>
    </row>
    <row r="110" ht="40" customHeight="1">
      <c r="A110" s="4" t="str">
        <f>IF(89&gt;COUNTIFS($J$2:$J$128,"&gt;0"),"",INDEX($H$2:$H$128,MATCH(89,$L$2:$L$128,0)))</f>
      </c>
      <c r="B110" s="12" t="str">
        <f>IF(89&gt;COUNTIFS($J$2:$J$128,"&gt;0"),"",INDEX($I$2:$I$128,MATCH(89,$L$2:$L$128,0)))</f>
      </c>
      <c r="C110" s="2" t="str">
        <f>IF(89&gt;COUNTIFS($J$2:$J$128,"&gt;0"),"",INDEX($J$2:$J$128,MATCH(89,$L$2:$L$128,0)))</f>
      </c>
      <c r="D110" s="12" t="str">
        <f>IF(89&gt;COUNTIFS($J$2:$J$128,"&gt;0"),"",INDEX($K$2:$K$128,MATCH(89,$L$2:$L$128,0)))</f>
      </c>
      <c r="H110" t="str">
        <v>Regular Coffee</v>
      </c>
      <c r="I110" t="n">
        <f>'Cafecito'!B20</f>
        <v>3.99</v>
      </c>
      <c r="J110" t="n">
        <f>'Cafecito'!C20</f>
        <v>0</v>
      </c>
      <c r="K110" t="n">
        <f>'Cafecito'!D20</f>
        <v>0</v>
      </c>
      <c r="L110" t="n">
        <f>IF(AND(ISNUMBER(J110),J110&gt;0),COUNTIFS($J$2:J110,"&gt;0"),0)</f>
        <v>0</v>
      </c>
    </row>
    <row r="111" ht="40" customHeight="1">
      <c r="A111" s="4" t="str">
        <f>IF(90&gt;COUNTIFS($J$2:$J$128,"&gt;0"),"",INDEX($H$2:$H$128,MATCH(90,$L$2:$L$128,0)))</f>
      </c>
      <c r="B111" s="12" t="str">
        <f>IF(90&gt;COUNTIFS($J$2:$J$128,"&gt;0"),"",INDEX($I$2:$I$128,MATCH(90,$L$2:$L$128,0)))</f>
      </c>
      <c r="C111" s="2" t="str">
        <f>IF(90&gt;COUNTIFS($J$2:$J$128,"&gt;0"),"",INDEX($J$2:$J$128,MATCH(90,$L$2:$L$128,0)))</f>
      </c>
      <c r="D111" s="12" t="str">
        <f>IF(90&gt;COUNTIFS($J$2:$J$128,"&gt;0"),"",INDEX($K$2:$K$128,MATCH(90,$L$2:$L$128,0)))</f>
      </c>
      <c r="H111" t="str">
        <v>Chamomile</v>
      </c>
      <c r="I111" t="n">
        <f>'Cafecito'!B23</f>
        <v>4.5</v>
      </c>
      <c r="J111" t="n">
        <f>'Cafecito'!C23</f>
        <v>0</v>
      </c>
      <c r="K111" t="n">
        <f>'Cafecito'!D23</f>
        <v>0</v>
      </c>
      <c r="L111" t="n">
        <f>IF(AND(ISNUMBER(J111),J111&gt;0),COUNTIFS($J$2:J111,"&gt;0"),0)</f>
        <v>0</v>
      </c>
    </row>
    <row r="112" ht="40" customHeight="1">
      <c r="A112" s="4" t="str">
        <f>IF(91&gt;COUNTIFS($J$2:$J$128,"&gt;0"),"",INDEX($H$2:$H$128,MATCH(91,$L$2:$L$128,0)))</f>
      </c>
      <c r="B112" s="12" t="str">
        <f>IF(91&gt;COUNTIFS($J$2:$J$128,"&gt;0"),"",INDEX($I$2:$I$128,MATCH(91,$L$2:$L$128,0)))</f>
      </c>
      <c r="C112" s="2" t="str">
        <f>IF(91&gt;COUNTIFS($J$2:$J$128,"&gt;0"),"",INDEX($J$2:$J$128,MATCH(91,$L$2:$L$128,0)))</f>
      </c>
      <c r="D112" s="12" t="str">
        <f>IF(91&gt;COUNTIFS($J$2:$J$128,"&gt;0"),"",INDEX($K$2:$K$128,MATCH(91,$L$2:$L$128,0)))</f>
      </c>
      <c r="H112" t="str">
        <v>Earl Grey</v>
      </c>
      <c r="I112" t="n">
        <f>'Cafecito'!B24</f>
        <v>4.5</v>
      </c>
      <c r="J112" t="n">
        <f>'Cafecito'!C24</f>
        <v>0</v>
      </c>
      <c r="K112" t="n">
        <f>'Cafecito'!D24</f>
        <v>0</v>
      </c>
      <c r="L112" t="n">
        <f>IF(AND(ISNUMBER(J112),J112&gt;0),COUNTIFS($J$2:J112,"&gt;0"),0)</f>
        <v>0</v>
      </c>
    </row>
    <row r="113" ht="40" customHeight="1">
      <c r="A113" s="4" t="str">
        <f>IF(92&gt;COUNTIFS($J$2:$J$128,"&gt;0"),"",INDEX($H$2:$H$128,MATCH(92,$L$2:$L$128,0)))</f>
      </c>
      <c r="B113" s="12" t="str">
        <f>IF(92&gt;COUNTIFS($J$2:$J$128,"&gt;0"),"",INDEX($I$2:$I$128,MATCH(92,$L$2:$L$128,0)))</f>
      </c>
      <c r="C113" s="2" t="str">
        <f>IF(92&gt;COUNTIFS($J$2:$J$128,"&gt;0"),"",INDEX($J$2:$J$128,MATCH(92,$L$2:$L$128,0)))</f>
      </c>
      <c r="D113" s="12" t="str">
        <f>IF(92&gt;COUNTIFS($J$2:$J$128,"&gt;0"),"",INDEX($K$2:$K$128,MATCH(92,$L$2:$L$128,0)))</f>
      </c>
      <c r="H113" t="str">
        <v>Berry Berry</v>
      </c>
      <c r="I113" t="n">
        <f>'Cafecito'!B25</f>
        <v>4.5</v>
      </c>
      <c r="J113" t="n">
        <f>'Cafecito'!C25</f>
        <v>0</v>
      </c>
      <c r="K113" t="n">
        <f>'Cafecito'!D25</f>
        <v>0</v>
      </c>
      <c r="L113" t="n">
        <f>IF(AND(ISNUMBER(J113),J113&gt;0),COUNTIFS($J$2:J113,"&gt;0"),0)</f>
        <v>0</v>
      </c>
    </row>
    <row r="114" ht="40" customHeight="1">
      <c r="A114" s="4" t="str">
        <f>IF(93&gt;COUNTIFS($J$2:$J$128,"&gt;0"),"",INDEX($H$2:$H$128,MATCH(93,$L$2:$L$128,0)))</f>
      </c>
      <c r="B114" s="12" t="str">
        <f>IF(93&gt;COUNTIFS($J$2:$J$128,"&gt;0"),"",INDEX($I$2:$I$128,MATCH(93,$L$2:$L$128,0)))</f>
      </c>
      <c r="C114" s="2" t="str">
        <f>IF(93&gt;COUNTIFS($J$2:$J$128,"&gt;0"),"",INDEX($J$2:$J$128,MATCH(93,$L$2:$L$128,0)))</f>
      </c>
      <c r="D114" s="12" t="str">
        <f>IF(93&gt;COUNTIFS($J$2:$J$128,"&gt;0"),"",INDEX($K$2:$K$128,MATCH(93,$L$2:$L$128,0)))</f>
      </c>
      <c r="H114" t="str">
        <v>Turmeric Ginger</v>
      </c>
      <c r="I114" t="n">
        <f>'Cafecito'!B26</f>
        <v>4.5</v>
      </c>
      <c r="J114" t="n">
        <f>'Cafecito'!C26</f>
        <v>0</v>
      </c>
      <c r="K114" t="n">
        <f>'Cafecito'!D26</f>
        <v>0</v>
      </c>
      <c r="L114" t="n">
        <f>IF(AND(ISNUMBER(J114),J114&gt;0),COUNTIFS($J$2:J114,"&gt;0"),0)</f>
        <v>0</v>
      </c>
    </row>
    <row r="115" ht="40" customHeight="1">
      <c r="A115" s="4" t="str">
        <f>IF(94&gt;COUNTIFS($J$2:$J$128,"&gt;0"),"",INDEX($H$2:$H$128,MATCH(94,$L$2:$L$128,0)))</f>
      </c>
      <c r="B115" s="12" t="str">
        <f>IF(94&gt;COUNTIFS($J$2:$J$128,"&gt;0"),"",INDEX($I$2:$I$128,MATCH(94,$L$2:$L$128,0)))</f>
      </c>
      <c r="C115" s="2" t="str">
        <f>IF(94&gt;COUNTIFS($J$2:$J$128,"&gt;0"),"",INDEX($J$2:$J$128,MATCH(94,$L$2:$L$128,0)))</f>
      </c>
      <c r="D115" s="12" t="str">
        <f>IF(94&gt;COUNTIFS($J$2:$J$128,"&gt;0"),"",INDEX($K$2:$K$128,MATCH(94,$L$2:$L$128,0)))</f>
      </c>
      <c r="H115" t="str">
        <v>Green Tea</v>
      </c>
      <c r="I115" t="n">
        <f>'Cafecito'!B27</f>
        <v>4.5</v>
      </c>
      <c r="J115" t="n">
        <f>'Cafecito'!C27</f>
        <v>0</v>
      </c>
      <c r="K115" t="n">
        <f>'Cafecito'!D27</f>
        <v>0</v>
      </c>
      <c r="L115" t="n">
        <f>IF(AND(ISNUMBER(J115),J115&gt;0),COUNTIFS($J$2:J115,"&gt;0"),0)</f>
        <v>0</v>
      </c>
    </row>
    <row r="116" ht="40" customHeight="1">
      <c r="A116" s="4" t="str">
        <f>IF(95&gt;COUNTIFS($J$2:$J$128,"&gt;0"),"",INDEX($H$2:$H$128,MATCH(95,$L$2:$L$128,0)))</f>
      </c>
      <c r="B116" s="12" t="str">
        <f>IF(95&gt;COUNTIFS($J$2:$J$128,"&gt;0"),"",INDEX($I$2:$I$128,MATCH(95,$L$2:$L$128,0)))</f>
      </c>
      <c r="C116" s="2" t="str">
        <f>IF(95&gt;COUNTIFS($J$2:$J$128,"&gt;0"),"",INDEX($J$2:$J$128,MATCH(95,$L$2:$L$128,0)))</f>
      </c>
      <c r="D116" s="12" t="str">
        <f>IF(95&gt;COUNTIFS($J$2:$J$128,"&gt;0"),"",INDEX($K$2:$K$128,MATCH(95,$L$2:$L$128,0)))</f>
      </c>
      <c r="H116" t="str">
        <v>Rose Green Tea</v>
      </c>
      <c r="I116" t="n">
        <f>'Cafecito'!B28</f>
        <v>4.5</v>
      </c>
      <c r="J116" t="n">
        <f>'Cafecito'!C28</f>
        <v>0</v>
      </c>
      <c r="K116" t="n">
        <f>'Cafecito'!D28</f>
        <v>0</v>
      </c>
      <c r="L116" t="n">
        <f>IF(AND(ISNUMBER(J116),J116&gt;0),COUNTIFS($J$2:J116,"&gt;0"),0)</f>
        <v>0</v>
      </c>
    </row>
    <row r="117" ht="40" customHeight="1">
      <c r="A117" s="4" t="str">
        <f>IF(96&gt;COUNTIFS($J$2:$J$128,"&gt;0"),"",INDEX($H$2:$H$128,MATCH(96,$L$2:$L$128,0)))</f>
      </c>
      <c r="B117" s="12" t="str">
        <f>IF(96&gt;COUNTIFS($J$2:$J$128,"&gt;0"),"",INDEX($I$2:$I$128,MATCH(96,$L$2:$L$128,0)))</f>
      </c>
      <c r="C117" s="2" t="str">
        <f>IF(96&gt;COUNTIFS($J$2:$J$128,"&gt;0"),"",INDEX($J$2:$J$128,MATCH(96,$L$2:$L$128,0)))</f>
      </c>
      <c r="D117" s="12" t="str">
        <f>IF(96&gt;COUNTIFS($J$2:$J$128,"&gt;0"),"",INDEX($K$2:$K$128,MATCH(96,$L$2:$L$128,0)))</f>
      </c>
      <c r="H117" t="str">
        <v>Brown Sugar Latte</v>
      </c>
      <c r="I117" t="n">
        <f>'Cafecito'!B31</f>
        <v>6.5</v>
      </c>
      <c r="J117" t="n">
        <f>'Cafecito'!C31</f>
        <v>0</v>
      </c>
      <c r="K117" t="n">
        <f>'Cafecito'!D31</f>
        <v>0</v>
      </c>
      <c r="L117" t="n">
        <f>IF(AND(ISNUMBER(J117),J117&gt;0),COUNTIFS($J$2:J117,"&gt;0"),0)</f>
        <v>0</v>
      </c>
    </row>
    <row r="118" ht="40" customHeight="1">
      <c r="A118" s="4" t="str">
        <f>IF(97&gt;COUNTIFS($J$2:$J$128,"&gt;0"),"",INDEX($H$2:$H$128,MATCH(97,$L$2:$L$128,0)))</f>
      </c>
      <c r="B118" s="12" t="str">
        <f>IF(97&gt;COUNTIFS($J$2:$J$128,"&gt;0"),"",INDEX($I$2:$I$128,MATCH(97,$L$2:$L$128,0)))</f>
      </c>
      <c r="C118" s="2" t="str">
        <f>IF(97&gt;COUNTIFS($J$2:$J$128,"&gt;0"),"",INDEX($J$2:$J$128,MATCH(97,$L$2:$L$128,0)))</f>
      </c>
      <c r="D118" s="12" t="str">
        <f>IF(97&gt;COUNTIFS($J$2:$J$128,"&gt;0"),"",INDEX($K$2:$K$128,MATCH(97,$L$2:$L$128,0)))</f>
      </c>
      <c r="H118" t="str">
        <v>Cold Brew</v>
      </c>
      <c r="I118" t="n">
        <f>'Cafecito'!B32</f>
        <v>4</v>
      </c>
      <c r="J118" t="n">
        <f>'Cafecito'!C32</f>
        <v>0</v>
      </c>
      <c r="K118" t="n">
        <f>'Cafecito'!D32</f>
        <v>0</v>
      </c>
      <c r="L118" t="n">
        <f>IF(AND(ISNUMBER(J118),J118&gt;0),COUNTIFS($J$2:J118,"&gt;0"),0)</f>
        <v>0</v>
      </c>
    </row>
    <row r="119" ht="40" customHeight="1">
      <c r="A119" s="4" t="str">
        <f>IF(98&gt;COUNTIFS($J$2:$J$128,"&gt;0"),"",INDEX($H$2:$H$128,MATCH(98,$L$2:$L$128,0)))</f>
      </c>
      <c r="B119" s="12" t="str">
        <f>IF(98&gt;COUNTIFS($J$2:$J$128,"&gt;0"),"",INDEX($I$2:$I$128,MATCH(98,$L$2:$L$128,0)))</f>
      </c>
      <c r="C119" s="2" t="str">
        <f>IF(98&gt;COUNTIFS($J$2:$J$128,"&gt;0"),"",INDEX($J$2:$J$128,MATCH(98,$L$2:$L$128,0)))</f>
      </c>
      <c r="D119" s="12" t="str">
        <f>IF(98&gt;COUNTIFS($J$2:$J$128,"&gt;0"),"",INDEX($K$2:$K$128,MATCH(98,$L$2:$L$128,0)))</f>
      </c>
      <c r="H119" t="str">
        <v>Matcha</v>
      </c>
      <c r="I119" t="n">
        <f>'Cafecito'!B33</f>
        <v>6</v>
      </c>
      <c r="J119" t="n">
        <f>'Cafecito'!C33</f>
        <v>0</v>
      </c>
      <c r="K119" t="n">
        <f>'Cafecito'!D33</f>
        <v>0</v>
      </c>
      <c r="L119" t="n">
        <f>IF(AND(ISNUMBER(J119),J119&gt;0),COUNTIFS($J$2:J119,"&gt;0"),0)</f>
        <v>0</v>
      </c>
    </row>
    <row r="120" ht="40" customHeight="1">
      <c r="A120" s="4" t="str">
        <f>IF(99&gt;COUNTIFS($J$2:$J$128,"&gt;0"),"",INDEX($H$2:$H$128,MATCH(99,$L$2:$L$128,0)))</f>
      </c>
      <c r="B120" s="12" t="str">
        <f>IF(99&gt;COUNTIFS($J$2:$J$128,"&gt;0"),"",INDEX($I$2:$I$128,MATCH(99,$L$2:$L$128,0)))</f>
      </c>
      <c r="C120" s="2" t="str">
        <f>IF(99&gt;COUNTIFS($J$2:$J$128,"&gt;0"),"",INDEX($J$2:$J$128,MATCH(99,$L$2:$L$128,0)))</f>
      </c>
      <c r="D120" s="12" t="str">
        <f>IF(99&gt;COUNTIFS($J$2:$J$128,"&gt;0"),"",INDEX($K$2:$K$128,MATCH(99,$L$2:$L$128,0)))</f>
      </c>
      <c r="H120" t="str">
        <v>Mi Amorcito Latte</v>
      </c>
      <c r="I120" t="n">
        <f>'Cafecito'!B34</f>
        <v>7</v>
      </c>
      <c r="J120" t="n">
        <f>'Cafecito'!C34</f>
        <v>0</v>
      </c>
      <c r="K120" t="n">
        <f>'Cafecito'!D34</f>
        <v>0</v>
      </c>
      <c r="L120" t="n">
        <f>IF(AND(ISNUMBER(J120),J120&gt;0),COUNTIFS($J$2:J120,"&gt;0"),0)</f>
        <v>0</v>
      </c>
    </row>
    <row r="121" ht="40" customHeight="1">
      <c r="A121" s="4" t="str">
        <f>IF(100&gt;COUNTIFS($J$2:$J$128,"&gt;0"),"",INDEX($H$2:$H$128,MATCH(100,$L$2:$L$128,0)))</f>
      </c>
      <c r="B121" s="12" t="str">
        <f>IF(100&gt;COUNTIFS($J$2:$J$128,"&gt;0"),"",INDEX($I$2:$I$128,MATCH(100,$L$2:$L$128,0)))</f>
      </c>
      <c r="C121" s="2" t="str">
        <f>IF(100&gt;COUNTIFS($J$2:$J$128,"&gt;0"),"",INDEX($J$2:$J$128,MATCH(100,$L$2:$L$128,0)))</f>
      </c>
      <c r="D121" s="12" t="str">
        <f>IF(100&gt;COUNTIFS($J$2:$J$128,"&gt;0"),"",INDEX($K$2:$K$128,MATCH(100,$L$2:$L$128,0)))</f>
      </c>
      <c r="H121" t="str">
        <v>Strawberry Abuelita Mocha</v>
      </c>
      <c r="I121" t="n">
        <f>'Cafecito'!B35</f>
        <v>7.5</v>
      </c>
      <c r="J121" t="n">
        <f>'Cafecito'!C35</f>
        <v>0</v>
      </c>
      <c r="K121" t="n">
        <f>'Cafecito'!D35</f>
        <v>0</v>
      </c>
      <c r="L121" t="n">
        <f>IF(AND(ISNUMBER(J121),J121&gt;0),COUNTIFS($J$2:J121,"&gt;0"),0)</f>
        <v>0</v>
      </c>
    </row>
    <row r="122" ht="40" customHeight="1">
      <c r="A122" s="4" t="str">
        <f>IF(101&gt;COUNTIFS($J$2:$J$128,"&gt;0"),"",INDEX($H$2:$H$128,MATCH(101,$L$2:$L$128,0)))</f>
      </c>
      <c r="B122" s="12" t="str">
        <f>IF(101&gt;COUNTIFS($J$2:$J$128,"&gt;0"),"",INDEX($I$2:$I$128,MATCH(101,$L$2:$L$128,0)))</f>
      </c>
      <c r="C122" s="2" t="str">
        <f>IF(101&gt;COUNTIFS($J$2:$J$128,"&gt;0"),"",INDEX($J$2:$J$128,MATCH(101,$L$2:$L$128,0)))</f>
      </c>
      <c r="D122" s="12" t="str">
        <f>IF(101&gt;COUNTIFS($J$2:$J$128,"&gt;0"),"",INDEX($K$2:$K$128,MATCH(101,$L$2:$L$128,0)))</f>
      </c>
      <c r="H122" t="str">
        <v>Besito Latte</v>
      </c>
      <c r="I122" t="n">
        <f>'Cafecito'!B36</f>
        <v>7</v>
      </c>
      <c r="J122" t="n">
        <f>'Cafecito'!C36</f>
        <v>0</v>
      </c>
      <c r="K122" t="n">
        <f>'Cafecito'!D36</f>
        <v>0</v>
      </c>
      <c r="L122" t="n">
        <f>IF(AND(ISNUMBER(J122),J122&gt;0),COUNTIFS($J$2:J122,"&gt;0"),0)</f>
        <v>0</v>
      </c>
    </row>
    <row r="123" ht="40" customHeight="1">
      <c r="A123" s="4" t="str">
        <f>IF(102&gt;COUNTIFS($J$2:$J$128,"&gt;0"),"",INDEX($H$2:$H$128,MATCH(102,$L$2:$L$128,0)))</f>
      </c>
      <c r="B123" s="12" t="str">
        <f>IF(102&gt;COUNTIFS($J$2:$J$128,"&gt;0"),"",INDEX($I$2:$I$128,MATCH(102,$L$2:$L$128,0)))</f>
      </c>
      <c r="C123" s="2" t="str">
        <f>IF(102&gt;COUNTIFS($J$2:$J$128,"&gt;0"),"",INDEX($J$2:$J$128,MATCH(102,$L$2:$L$128,0)))</f>
      </c>
      <c r="D123" s="12" t="str">
        <f>IF(102&gt;COUNTIFS($J$2:$J$128,"&gt;0"),"",INDEX($K$2:$K$128,MATCH(102,$L$2:$L$128,0)))</f>
      </c>
      <c r="H123" t="str">
        <v>Caramel Mazapan Matcha Latte</v>
      </c>
      <c r="I123" t="n">
        <f>'Cafecito'!B37</f>
        <v>7</v>
      </c>
      <c r="J123" t="n">
        <f>'Cafecito'!C37</f>
        <v>0</v>
      </c>
      <c r="K123" t="n">
        <f>'Cafecito'!D37</f>
        <v>0</v>
      </c>
      <c r="L123" t="n">
        <f>IF(AND(ISNUMBER(J123),J123&gt;0),COUNTIFS($J$2:J123,"&gt;0"),0)</f>
        <v>0</v>
      </c>
    </row>
    <row r="124" ht="40" customHeight="1">
      <c r="A124" s="4" t="str">
        <f>IF(103&gt;COUNTIFS($J$2:$J$128,"&gt;0"),"",INDEX($H$2:$H$128,MATCH(103,$L$2:$L$128,0)))</f>
      </c>
      <c r="B124" s="12" t="str">
        <f>IF(103&gt;COUNTIFS($J$2:$J$128,"&gt;0"),"",INDEX($I$2:$I$128,MATCH(103,$L$2:$L$128,0)))</f>
      </c>
      <c r="C124" s="2" t="str">
        <f>IF(103&gt;COUNTIFS($J$2:$J$128,"&gt;0"),"",INDEX($J$2:$J$128,MATCH(103,$L$2:$L$128,0)))</f>
      </c>
      <c r="D124" s="12" t="str">
        <f>IF(103&gt;COUNTIFS($J$2:$J$128,"&gt;0"),"",INDEX($K$2:$K$128,MATCH(103,$L$2:$L$128,0)))</f>
      </c>
      <c r="H124" t="str">
        <v>Cloud Sweet Melody Berry</v>
      </c>
      <c r="I124" t="n">
        <f>'Cafecito'!B38</f>
        <v>6.5</v>
      </c>
      <c r="J124" t="n">
        <f>'Cafecito'!C38</f>
        <v>0</v>
      </c>
      <c r="K124" t="n">
        <f>'Cafecito'!D38</f>
        <v>0</v>
      </c>
      <c r="L124" t="n">
        <f>IF(AND(ISNUMBER(J124),J124&gt;0),COUNTIFS($J$2:J124,"&gt;0"),0)</f>
        <v>0</v>
      </c>
    </row>
    <row r="125" ht="40" customHeight="1">
      <c r="A125" s="4" t="str">
        <f>IF(104&gt;COUNTIFS($J$2:$J$128,"&gt;0"),"",INDEX($H$2:$H$128,MATCH(104,$L$2:$L$128,0)))</f>
      </c>
      <c r="B125" s="12" t="str">
        <f>IF(104&gt;COUNTIFS($J$2:$J$128,"&gt;0"),"",INDEX($I$2:$I$128,MATCH(104,$L$2:$L$128,0)))</f>
      </c>
      <c r="C125" s="2" t="str">
        <f>IF(104&gt;COUNTIFS($J$2:$J$128,"&gt;0"),"",INDEX($J$2:$J$128,MATCH(104,$L$2:$L$128,0)))</f>
      </c>
      <c r="D125" s="12" t="str">
        <f>IF(104&gt;COUNTIFS($J$2:$J$128,"&gt;0"),"",INDEX($K$2:$K$128,MATCH(104,$L$2:$L$128,0)))</f>
      </c>
      <c r="H125" t="str">
        <v>Silos Iced Oatmilk Shaken Espresso</v>
      </c>
      <c r="I125" t="n">
        <f>'Cafecito'!B39</f>
        <v>7</v>
      </c>
      <c r="J125" t="n">
        <f>'Cafecito'!C39</f>
        <v>0</v>
      </c>
      <c r="K125" t="n">
        <f>'Cafecito'!D39</f>
        <v>0</v>
      </c>
      <c r="L125" t="n">
        <f>IF(AND(ISNUMBER(J125),J125&gt;0),COUNTIFS($J$2:J125,"&gt;0"),0)</f>
        <v>0</v>
      </c>
    </row>
    <row r="126" ht="40" customHeight="1">
      <c r="A126" s="4" t="str">
        <f>IF(105&gt;COUNTIFS($J$2:$J$128,"&gt;0"),"",INDEX($H$2:$H$128,MATCH(105,$L$2:$L$128,0)))</f>
      </c>
      <c r="B126" s="12" t="str">
        <f>IF(105&gt;COUNTIFS($J$2:$J$128,"&gt;0"),"",INDEX($I$2:$I$128,MATCH(105,$L$2:$L$128,0)))</f>
      </c>
      <c r="C126" s="2" t="str">
        <f>IF(105&gt;COUNTIFS($J$2:$J$128,"&gt;0"),"",INDEX($J$2:$J$128,MATCH(105,$L$2:$L$128,0)))</f>
      </c>
      <c r="D126" s="12" t="str">
        <f>IF(105&gt;COUNTIFS($J$2:$J$128,"&gt;0"),"",INDEX($K$2:$K$128,MATCH(105,$L$2:$L$128,0)))</f>
      </c>
      <c r="H126" t="str">
        <v>Syrup add-on (choose flavor)</v>
      </c>
      <c r="I126" t="n">
        <f>'Cafecito'!B42</f>
        <v>0.75</v>
      </c>
      <c r="J126" t="n">
        <f>'Cafecito'!C42</f>
        <v>0</v>
      </c>
      <c r="K126" t="n">
        <f>'Cafecito'!D42</f>
        <v>0</v>
      </c>
      <c r="L126" t="n">
        <f>IF(AND(ISNUMBER(J126),J126&gt;0),COUNTIFS($J$2:J126,"&gt;0"),0)</f>
        <v>0</v>
      </c>
    </row>
    <row r="127" ht="40" customHeight="1">
      <c r="A127" s="4" t="str">
        <f>IF(106&gt;COUNTIFS($J$2:$J$128,"&gt;0"),"",INDEX($H$2:$H$128,MATCH(106,$L$2:$L$128,0)))</f>
      </c>
      <c r="B127" s="12" t="str">
        <f>IF(106&gt;COUNTIFS($J$2:$J$128,"&gt;0"),"",INDEX($I$2:$I$128,MATCH(106,$L$2:$L$128,0)))</f>
      </c>
      <c r="C127" s="2" t="str">
        <f>IF(106&gt;COUNTIFS($J$2:$J$128,"&gt;0"),"",INDEX($J$2:$J$128,MATCH(106,$L$2:$L$128,0)))</f>
      </c>
      <c r="D127" s="12" t="str">
        <f>IF(106&gt;COUNTIFS($J$2:$J$128,"&gt;0"),"",INDEX($K$2:$K$128,MATCH(106,$L$2:$L$128,0)))</f>
      </c>
      <c r="H127" t="str">
        <v>Extra Espresso Shot</v>
      </c>
      <c r="I127" t="n">
        <f>'Cafecito'!B43</f>
        <v>2</v>
      </c>
      <c r="J127" t="n">
        <f>'Cafecito'!C43</f>
        <v>0</v>
      </c>
      <c r="K127" t="n">
        <f>'Cafecito'!D43</f>
        <v>0</v>
      </c>
      <c r="L127" t="n">
        <f>IF(AND(ISNUMBER(J127),J127&gt;0),COUNTIFS($J$2:J127,"&gt;0"),0)</f>
        <v>0</v>
      </c>
    </row>
    <row r="128" ht="40" customHeight="1">
      <c r="A128" s="4" t="str">
        <f>IF(107&gt;COUNTIFS($J$2:$J$128,"&gt;0"),"",INDEX($H$2:$H$128,MATCH(107,$L$2:$L$128,0)))</f>
      </c>
      <c r="B128" s="12" t="str">
        <f>IF(107&gt;COUNTIFS($J$2:$J$128,"&gt;0"),"",INDEX($I$2:$I$128,MATCH(107,$L$2:$L$128,0)))</f>
      </c>
      <c r="C128" s="2" t="str">
        <f>IF(107&gt;COUNTIFS($J$2:$J$128,"&gt;0"),"",INDEX($J$2:$J$128,MATCH(107,$L$2:$L$128,0)))</f>
      </c>
      <c r="D128" s="12" t="str">
        <f>IF(107&gt;COUNTIFS($J$2:$J$128,"&gt;0"),"",INDEX($K$2:$K$128,MATCH(107,$L$2:$L$128,0)))</f>
      </c>
      <c r="H128" t="str">
        <v>Cold Foam</v>
      </c>
      <c r="I128" t="n">
        <f>'Cafecito'!B44</f>
        <v>1</v>
      </c>
      <c r="J128" t="n">
        <f>'Cafecito'!C44</f>
        <v>0</v>
      </c>
      <c r="K128" t="n">
        <f>'Cafecito'!D44</f>
        <v>0</v>
      </c>
      <c r="L128" t="n">
        <f>IF(AND(ISNUMBER(J128),J128&gt;0),COUNTIFS($J$2:J128,"&gt;0"),0)</f>
        <v>0</v>
      </c>
    </row>
    <row r="129" ht="40" customHeight="1">
      <c r="A129" s="4" t="str">
        <f>IF(108&gt;COUNTIFS($J$2:$J$128,"&gt;0"),"",INDEX($H$2:$H$128,MATCH(108,$L$2:$L$128,0)))</f>
      </c>
      <c r="B129" s="12" t="str">
        <f>IF(108&gt;COUNTIFS($J$2:$J$128,"&gt;0"),"",INDEX($I$2:$I$128,MATCH(108,$L$2:$L$128,0)))</f>
      </c>
      <c r="C129" s="2" t="str">
        <f>IF(108&gt;COUNTIFS($J$2:$J$128,"&gt;0"),"",INDEX($J$2:$J$128,MATCH(108,$L$2:$L$128,0)))</f>
      </c>
      <c r="D129" s="12" t="str">
        <f>IF(108&gt;COUNTIFS($J$2:$J$128,"&gt;0"),"",INDEX($K$2:$K$128,MATCH(108,$L$2:$L$128,0)))</f>
      </c>
    </row>
    <row r="130" ht="40" customHeight="1">
      <c r="A130" s="4" t="str">
        <f>IF(109&gt;COUNTIFS($J$2:$J$128,"&gt;0"),"",INDEX($H$2:$H$128,MATCH(109,$L$2:$L$128,0)))</f>
      </c>
      <c r="B130" s="12" t="str">
        <f>IF(109&gt;COUNTIFS($J$2:$J$128,"&gt;0"),"",INDEX($I$2:$I$128,MATCH(109,$L$2:$L$128,0)))</f>
      </c>
      <c r="C130" s="2" t="str">
        <f>IF(109&gt;COUNTIFS($J$2:$J$128,"&gt;0"),"",INDEX($J$2:$J$128,MATCH(109,$L$2:$L$128,0)))</f>
      </c>
      <c r="D130" s="12" t="str">
        <f>IF(109&gt;COUNTIFS($J$2:$J$128,"&gt;0"),"",INDEX($K$2:$K$128,MATCH(109,$L$2:$L$128,0)))</f>
      </c>
    </row>
    <row r="131" ht="40" customHeight="1">
      <c r="A131" s="4" t="str">
        <f>IF(110&gt;COUNTIFS($J$2:$J$128,"&gt;0"),"",INDEX($H$2:$H$128,MATCH(110,$L$2:$L$128,0)))</f>
      </c>
      <c r="B131" s="12" t="str">
        <f>IF(110&gt;COUNTIFS($J$2:$J$128,"&gt;0"),"",INDEX($I$2:$I$128,MATCH(110,$L$2:$L$128,0)))</f>
      </c>
      <c r="C131" s="2" t="str">
        <f>IF(110&gt;COUNTIFS($J$2:$J$128,"&gt;0"),"",INDEX($J$2:$J$128,MATCH(110,$L$2:$L$128,0)))</f>
      </c>
      <c r="D131" s="12" t="str">
        <f>IF(110&gt;COUNTIFS($J$2:$J$128,"&gt;0"),"",INDEX($K$2:$K$128,MATCH(110,$L$2:$L$128,0)))</f>
      </c>
    </row>
    <row r="132" ht="40" customHeight="1">
      <c r="A132" s="4" t="str">
        <f>IF(111&gt;COUNTIFS($J$2:$J$128,"&gt;0"),"",INDEX($H$2:$H$128,MATCH(111,$L$2:$L$128,0)))</f>
      </c>
      <c r="B132" s="12" t="str">
        <f>IF(111&gt;COUNTIFS($J$2:$J$128,"&gt;0"),"",INDEX($I$2:$I$128,MATCH(111,$L$2:$L$128,0)))</f>
      </c>
      <c r="C132" s="2" t="str">
        <f>IF(111&gt;COUNTIFS($J$2:$J$128,"&gt;0"),"",INDEX($J$2:$J$128,MATCH(111,$L$2:$L$128,0)))</f>
      </c>
      <c r="D132" s="12" t="str">
        <f>IF(111&gt;COUNTIFS($J$2:$J$128,"&gt;0"),"",INDEX($K$2:$K$128,MATCH(111,$L$2:$L$128,0)))</f>
      </c>
    </row>
    <row r="133" ht="40" customHeight="1">
      <c r="A133" s="4" t="str">
        <f>IF(112&gt;COUNTIFS($J$2:$J$128,"&gt;0"),"",INDEX($H$2:$H$128,MATCH(112,$L$2:$L$128,0)))</f>
      </c>
      <c r="B133" s="12" t="str">
        <f>IF(112&gt;COUNTIFS($J$2:$J$128,"&gt;0"),"",INDEX($I$2:$I$128,MATCH(112,$L$2:$L$128,0)))</f>
      </c>
      <c r="C133" s="2" t="str">
        <f>IF(112&gt;COUNTIFS($J$2:$J$128,"&gt;0"),"",INDEX($J$2:$J$128,MATCH(112,$L$2:$L$128,0)))</f>
      </c>
      <c r="D133" s="12" t="str">
        <f>IF(112&gt;COUNTIFS($J$2:$J$128,"&gt;0"),"",INDEX($K$2:$K$128,MATCH(112,$L$2:$L$128,0)))</f>
      </c>
    </row>
    <row r="134" ht="40" customHeight="1">
      <c r="A134" s="4" t="str">
        <f>IF(113&gt;COUNTIFS($J$2:$J$128,"&gt;0"),"",INDEX($H$2:$H$128,MATCH(113,$L$2:$L$128,0)))</f>
      </c>
      <c r="B134" s="12" t="str">
        <f>IF(113&gt;COUNTIFS($J$2:$J$128,"&gt;0"),"",INDEX($I$2:$I$128,MATCH(113,$L$2:$L$128,0)))</f>
      </c>
      <c r="C134" s="2" t="str">
        <f>IF(113&gt;COUNTIFS($J$2:$J$128,"&gt;0"),"",INDEX($J$2:$J$128,MATCH(113,$L$2:$L$128,0)))</f>
      </c>
      <c r="D134" s="12" t="str">
        <f>IF(113&gt;COUNTIFS($J$2:$J$128,"&gt;0"),"",INDEX($K$2:$K$128,MATCH(113,$L$2:$L$128,0)))</f>
      </c>
    </row>
    <row r="135" ht="40" customHeight="1">
      <c r="A135" s="4" t="str">
        <f>IF(114&gt;COUNTIFS($J$2:$J$128,"&gt;0"),"",INDEX($H$2:$H$128,MATCH(114,$L$2:$L$128,0)))</f>
      </c>
      <c r="B135" s="12" t="str">
        <f>IF(114&gt;COUNTIFS($J$2:$J$128,"&gt;0"),"",INDEX($I$2:$I$128,MATCH(114,$L$2:$L$128,0)))</f>
      </c>
      <c r="C135" s="2" t="str">
        <f>IF(114&gt;COUNTIFS($J$2:$J$128,"&gt;0"),"",INDEX($J$2:$J$128,MATCH(114,$L$2:$L$128,0)))</f>
      </c>
      <c r="D135" s="12" t="str">
        <f>IF(114&gt;COUNTIFS($J$2:$J$128,"&gt;0"),"",INDEX($K$2:$K$128,MATCH(114,$L$2:$L$128,0)))</f>
      </c>
    </row>
    <row r="136" ht="40" customHeight="1">
      <c r="A136" s="4" t="str">
        <f>IF(115&gt;COUNTIFS($J$2:$J$128,"&gt;0"),"",INDEX($H$2:$H$128,MATCH(115,$L$2:$L$128,0)))</f>
      </c>
      <c r="B136" s="12" t="str">
        <f>IF(115&gt;COUNTIFS($J$2:$J$128,"&gt;0"),"",INDEX($I$2:$I$128,MATCH(115,$L$2:$L$128,0)))</f>
      </c>
      <c r="C136" s="2" t="str">
        <f>IF(115&gt;COUNTIFS($J$2:$J$128,"&gt;0"),"",INDEX($J$2:$J$128,MATCH(115,$L$2:$L$128,0)))</f>
      </c>
      <c r="D136" s="12" t="str">
        <f>IF(115&gt;COUNTIFS($J$2:$J$128,"&gt;0"),"",INDEX($K$2:$K$128,MATCH(115,$L$2:$L$128,0)))</f>
      </c>
    </row>
    <row r="137" ht="40" customHeight="1">
      <c r="A137" s="4" t="str">
        <f>IF(116&gt;COUNTIFS($J$2:$J$128,"&gt;0"),"",INDEX($H$2:$H$128,MATCH(116,$L$2:$L$128,0)))</f>
      </c>
      <c r="B137" s="12" t="str">
        <f>IF(116&gt;COUNTIFS($J$2:$J$128,"&gt;0"),"",INDEX($I$2:$I$128,MATCH(116,$L$2:$L$128,0)))</f>
      </c>
      <c r="C137" s="2" t="str">
        <f>IF(116&gt;COUNTIFS($J$2:$J$128,"&gt;0"),"",INDEX($J$2:$J$128,MATCH(116,$L$2:$L$128,0)))</f>
      </c>
      <c r="D137" s="12" t="str">
        <f>IF(116&gt;COUNTIFS($J$2:$J$128,"&gt;0"),"",INDEX($K$2:$K$128,MATCH(116,$L$2:$L$128,0)))</f>
      </c>
    </row>
    <row r="138" ht="40" customHeight="1">
      <c r="A138" s="4" t="str">
        <f>IF(117&gt;COUNTIFS($J$2:$J$128,"&gt;0"),"",INDEX($H$2:$H$128,MATCH(117,$L$2:$L$128,0)))</f>
      </c>
      <c r="B138" s="12" t="str">
        <f>IF(117&gt;COUNTIFS($J$2:$J$128,"&gt;0"),"",INDEX($I$2:$I$128,MATCH(117,$L$2:$L$128,0)))</f>
      </c>
      <c r="C138" s="2" t="str">
        <f>IF(117&gt;COUNTIFS($J$2:$J$128,"&gt;0"),"",INDEX($J$2:$J$128,MATCH(117,$L$2:$L$128,0)))</f>
      </c>
      <c r="D138" s="12" t="str">
        <f>IF(117&gt;COUNTIFS($J$2:$J$128,"&gt;0"),"",INDEX($K$2:$K$128,MATCH(117,$L$2:$L$128,0)))</f>
      </c>
    </row>
    <row r="139" ht="40" customHeight="1">
      <c r="A139" s="4" t="str">
        <f>IF(118&gt;COUNTIFS($J$2:$J$128,"&gt;0"),"",INDEX($H$2:$H$128,MATCH(118,$L$2:$L$128,0)))</f>
      </c>
      <c r="B139" s="12" t="str">
        <f>IF(118&gt;COUNTIFS($J$2:$J$128,"&gt;0"),"",INDEX($I$2:$I$128,MATCH(118,$L$2:$L$128,0)))</f>
      </c>
      <c r="C139" s="2" t="str">
        <f>IF(118&gt;COUNTIFS($J$2:$J$128,"&gt;0"),"",INDEX($J$2:$J$128,MATCH(118,$L$2:$L$128,0)))</f>
      </c>
      <c r="D139" s="12" t="str">
        <f>IF(118&gt;COUNTIFS($J$2:$J$128,"&gt;0"),"",INDEX($K$2:$K$128,MATCH(118,$L$2:$L$128,0)))</f>
      </c>
    </row>
    <row r="140" ht="40" customHeight="1">
      <c r="A140" s="4" t="str">
        <f>IF(119&gt;COUNTIFS($J$2:$J$128,"&gt;0"),"",INDEX($H$2:$H$128,MATCH(119,$L$2:$L$128,0)))</f>
      </c>
      <c r="B140" s="12" t="str">
        <f>IF(119&gt;COUNTIFS($J$2:$J$128,"&gt;0"),"",INDEX($I$2:$I$128,MATCH(119,$L$2:$L$128,0)))</f>
      </c>
      <c r="C140" s="2" t="str">
        <f>IF(119&gt;COUNTIFS($J$2:$J$128,"&gt;0"),"",INDEX($J$2:$J$128,MATCH(119,$L$2:$L$128,0)))</f>
      </c>
      <c r="D140" s="12" t="str">
        <f>IF(119&gt;COUNTIFS($J$2:$J$128,"&gt;0"),"",INDEX($K$2:$K$128,MATCH(119,$L$2:$L$128,0)))</f>
      </c>
    </row>
    <row r="141" ht="40" customHeight="1">
      <c r="A141" s="4" t="str">
        <f>IF(120&gt;COUNTIFS($J$2:$J$128,"&gt;0"),"",INDEX($H$2:$H$128,MATCH(120,$L$2:$L$128,0)))</f>
      </c>
      <c r="B141" s="12" t="str">
        <f>IF(120&gt;COUNTIFS($J$2:$J$128,"&gt;0"),"",INDEX($I$2:$I$128,MATCH(120,$L$2:$L$128,0)))</f>
      </c>
      <c r="C141" s="2" t="str">
        <f>IF(120&gt;COUNTIFS($J$2:$J$128,"&gt;0"),"",INDEX($J$2:$J$128,MATCH(120,$L$2:$L$128,0)))</f>
      </c>
      <c r="D141" s="12" t="str">
        <f>IF(120&gt;COUNTIFS($J$2:$J$128,"&gt;0"),"",INDEX($K$2:$K$128,MATCH(120,$L$2:$L$128,0)))</f>
      </c>
    </row>
    <row r="142" ht="40" customHeight="1">
      <c r="A142" s="4" t="str">
        <f>IF(121&gt;COUNTIFS($J$2:$J$128,"&gt;0"),"",INDEX($H$2:$H$128,MATCH(121,$L$2:$L$128,0)))</f>
      </c>
      <c r="B142" s="12" t="str">
        <f>IF(121&gt;COUNTIFS($J$2:$J$128,"&gt;0"),"",INDEX($I$2:$I$128,MATCH(121,$L$2:$L$128,0)))</f>
      </c>
      <c r="C142" s="2" t="str">
        <f>IF(121&gt;COUNTIFS($J$2:$J$128,"&gt;0"),"",INDEX($J$2:$J$128,MATCH(121,$L$2:$L$128,0)))</f>
      </c>
      <c r="D142" s="12" t="str">
        <f>IF(121&gt;COUNTIFS($J$2:$J$128,"&gt;0"),"",INDEX($K$2:$K$128,MATCH(121,$L$2:$L$128,0)))</f>
      </c>
    </row>
    <row r="143" ht="40" customHeight="1">
      <c r="A143" s="4" t="str">
        <f>IF(122&gt;COUNTIFS($J$2:$J$128,"&gt;0"),"",INDEX($H$2:$H$128,MATCH(122,$L$2:$L$128,0)))</f>
      </c>
      <c r="B143" s="12" t="str">
        <f>IF(122&gt;COUNTIFS($J$2:$J$128,"&gt;0"),"",INDEX($I$2:$I$128,MATCH(122,$L$2:$L$128,0)))</f>
      </c>
      <c r="C143" s="2" t="str">
        <f>IF(122&gt;COUNTIFS($J$2:$J$128,"&gt;0"),"",INDEX($J$2:$J$128,MATCH(122,$L$2:$L$128,0)))</f>
      </c>
      <c r="D143" s="12" t="str">
        <f>IF(122&gt;COUNTIFS($J$2:$J$128,"&gt;0"),"",INDEX($K$2:$K$128,MATCH(122,$L$2:$L$128,0)))</f>
      </c>
    </row>
    <row r="144" ht="40" customHeight="1">
      <c r="A144" s="4" t="str">
        <f>IF(123&gt;COUNTIFS($J$2:$J$128,"&gt;0"),"",INDEX($H$2:$H$128,MATCH(123,$L$2:$L$128,0)))</f>
      </c>
      <c r="B144" s="12" t="str">
        <f>IF(123&gt;COUNTIFS($J$2:$J$128,"&gt;0"),"",INDEX($I$2:$I$128,MATCH(123,$L$2:$L$128,0)))</f>
      </c>
      <c r="C144" s="2" t="str">
        <f>IF(123&gt;COUNTIFS($J$2:$J$128,"&gt;0"),"",INDEX($J$2:$J$128,MATCH(123,$L$2:$L$128,0)))</f>
      </c>
      <c r="D144" s="12" t="str">
        <f>IF(123&gt;COUNTIFS($J$2:$J$128,"&gt;0"),"",INDEX($K$2:$K$128,MATCH(123,$L$2:$L$128,0)))</f>
      </c>
    </row>
    <row r="145" ht="40" customHeight="1">
      <c r="A145" s="4" t="str">
        <f>IF(124&gt;COUNTIFS($J$2:$J$128,"&gt;0"),"",INDEX($H$2:$H$128,MATCH(124,$L$2:$L$128,0)))</f>
      </c>
      <c r="B145" s="12" t="str">
        <f>IF(124&gt;COUNTIFS($J$2:$J$128,"&gt;0"),"",INDEX($I$2:$I$128,MATCH(124,$L$2:$L$128,0)))</f>
      </c>
      <c r="C145" s="2" t="str">
        <f>IF(124&gt;COUNTIFS($J$2:$J$128,"&gt;0"),"",INDEX($J$2:$J$128,MATCH(124,$L$2:$L$128,0)))</f>
      </c>
      <c r="D145" s="12" t="str">
        <f>IF(124&gt;COUNTIFS($J$2:$J$128,"&gt;0"),"",INDEX($K$2:$K$128,MATCH(124,$L$2:$L$128,0)))</f>
      </c>
    </row>
    <row r="146" ht="40" customHeight="1">
      <c r="A146" s="4" t="str">
        <f>IF(125&gt;COUNTIFS($J$2:$J$128,"&gt;0"),"",INDEX($H$2:$H$128,MATCH(125,$L$2:$L$128,0)))</f>
      </c>
      <c r="B146" s="12" t="str">
        <f>IF(125&gt;COUNTIFS($J$2:$J$128,"&gt;0"),"",INDEX($I$2:$I$128,MATCH(125,$L$2:$L$128,0)))</f>
      </c>
      <c r="C146" s="2" t="str">
        <f>IF(125&gt;COUNTIFS($J$2:$J$128,"&gt;0"),"",INDEX($J$2:$J$128,MATCH(125,$L$2:$L$128,0)))</f>
      </c>
      <c r="D146" s="12" t="str">
        <f>IF(125&gt;COUNTIFS($J$2:$J$128,"&gt;0"),"",INDEX($K$2:$K$128,MATCH(125,$L$2:$L$128,0)))</f>
      </c>
    </row>
    <row r="147" ht="40" customHeight="1">
      <c r="A147" s="4" t="str">
        <f>IF(126&gt;COUNTIFS($J$2:$J$128,"&gt;0"),"",INDEX($H$2:$H$128,MATCH(126,$L$2:$L$128,0)))</f>
      </c>
      <c r="B147" s="12" t="str">
        <f>IF(126&gt;COUNTIFS($J$2:$J$128,"&gt;0"),"",INDEX($I$2:$I$128,MATCH(126,$L$2:$L$128,0)))</f>
      </c>
      <c r="C147" s="2" t="str">
        <f>IF(126&gt;COUNTIFS($J$2:$J$128,"&gt;0"),"",INDEX($J$2:$J$128,MATCH(126,$L$2:$L$128,0)))</f>
      </c>
      <c r="D147" s="12" t="str">
        <f>IF(126&gt;COUNTIFS($J$2:$J$128,"&gt;0"),"",INDEX($K$2:$K$128,MATCH(126,$L$2:$L$128,0)))</f>
      </c>
    </row>
    <row r="148" ht="40" customHeight="1">
      <c r="A148" s="4" t="str">
        <f>IF(127&gt;COUNTIFS($J$2:$J$128,"&gt;0"),"",INDEX($H$2:$H$128,MATCH(127,$L$2:$L$128,0)))</f>
      </c>
      <c r="B148" s="12" t="str">
        <f>IF(127&gt;COUNTIFS($J$2:$J$128,"&gt;0"),"",INDEX($I$2:$I$128,MATCH(127,$L$2:$L$128,0)))</f>
      </c>
      <c r="C148" s="2" t="str">
        <f>IF(127&gt;COUNTIFS($J$2:$J$128,"&gt;0"),"",INDEX($J$2:$J$128,MATCH(127,$L$2:$L$128,0)))</f>
      </c>
      <c r="D148" s="12" t="str">
        <f>IF(127&gt;COUNTIFS($J$2:$J$128,"&gt;0"),"",INDEX($K$2:$K$128,MATCH(127,$L$2:$L$128,0)))</f>
      </c>
    </row>
    <row r="149" ht="28" customHeight="1">
      <c r="A149" s="2"/>
      <c r="B149" s="2"/>
      <c r="C149" s="2"/>
      <c r="D149" s="2"/>
    </row>
    <row r="150" ht="28" customHeight="1">
      <c r="A150" s="2"/>
      <c r="B150" s="2"/>
      <c r="C150" s="2"/>
      <c r="D150" s="2"/>
    </row>
    <row r="151" ht="28" customHeight="1">
      <c r="A151" s="2"/>
      <c r="B151" s="2"/>
      <c r="C151" s="2"/>
      <c r="D151" s="2"/>
    </row>
    <row r="152" ht="28" customHeight="1">
      <c r="A152" s="2"/>
      <c r="B152" s="2"/>
      <c r="C152" s="2"/>
      <c r="D152" s="2"/>
    </row>
    <row r="153" ht="28" customHeight="1">
      <c r="A153" s="2"/>
      <c r="B153" s="2"/>
      <c r="C153" s="2"/>
      <c r="D153" s="2"/>
    </row>
    <row r="154" ht="28" customHeight="1">
      <c r="A154" s="2"/>
      <c r="B154" s="2"/>
      <c r="C154" s="2"/>
      <c r="D154" s="2"/>
    </row>
    <row r="155" ht="28" customHeight="1">
      <c r="A155" s="2"/>
      <c r="B155" s="2"/>
      <c r="C155" s="2"/>
      <c r="D155" s="2"/>
    </row>
    <row r="156" ht="28" customHeight="1">
      <c r="A156" s="2"/>
      <c r="B156" s="2"/>
      <c r="C156" s="2"/>
      <c r="D156" s="2"/>
    </row>
    <row r="157" ht="28" customHeight="1">
      <c r="A157" s="2"/>
      <c r="B157" s="2"/>
      <c r="C157" s="2"/>
      <c r="D157" s="2"/>
    </row>
    <row r="158" ht="28" customHeight="1">
      <c r="A158" s="2"/>
      <c r="B158" s="2"/>
      <c r="C158" s="2"/>
      <c r="D158" s="2"/>
    </row>
    <row r="159" ht="28" customHeight="1">
      <c r="A159" s="2"/>
      <c r="B159" s="2"/>
      <c r="C159" s="2"/>
      <c r="D159" s="2"/>
    </row>
    <row r="160" ht="28" customHeight="1">
      <c r="A160" s="2"/>
      <c r="B160" s="2"/>
      <c r="C160" s="2"/>
      <c r="D160" s="2"/>
    </row>
    <row r="161" ht="28" customHeight="1">
      <c r="A161" s="2"/>
      <c r="B161" s="2"/>
      <c r="C161" s="2"/>
      <c r="D161" s="2"/>
    </row>
    <row r="162" ht="28" customHeight="1">
      <c r="A162" s="2"/>
      <c r="B162" s="2"/>
      <c r="C162" s="2"/>
      <c r="D162" s="2"/>
    </row>
    <row r="163" ht="28" customHeight="1">
      <c r="A163" s="2"/>
      <c r="B163" s="2"/>
      <c r="C163" s="2"/>
      <c r="D163" s="2"/>
    </row>
    <row r="164" ht="28" customHeight="1">
      <c r="A164" s="2"/>
      <c r="B164" s="2"/>
      <c r="C164" s="2"/>
      <c r="D164" s="2"/>
    </row>
    <row r="165" ht="28" customHeight="1">
      <c r="A165" s="2"/>
      <c r="B165" s="2"/>
      <c r="C165" s="2"/>
      <c r="D165" s="2"/>
    </row>
    <row r="166" ht="28" customHeight="1">
      <c r="A166" s="2"/>
      <c r="B166" s="2"/>
      <c r="C166" s="2"/>
      <c r="D166" s="2"/>
    </row>
    <row r="167" ht="28" customHeight="1">
      <c r="A167" s="2"/>
      <c r="B167" s="2"/>
      <c r="C167" s="2"/>
      <c r="D167" s="2"/>
    </row>
    <row r="168" ht="28" customHeight="1">
      <c r="A168" s="2"/>
      <c r="B168" s="2"/>
      <c r="C168" s="2"/>
      <c r="D168" s="2"/>
    </row>
    <row r="169" ht="28" customHeight="1">
      <c r="A169" s="2"/>
      <c r="B169" s="2"/>
      <c r="C169" s="2"/>
      <c r="D169" s="2"/>
    </row>
    <row r="170" ht="28" customHeight="1">
      <c r="A170" s="2"/>
      <c r="B170" s="2"/>
      <c r="C170" s="2"/>
      <c r="D170" s="2"/>
    </row>
  </sheetData>
  <sheetProtection sheet="1" objects="1" scenarios="1" selectLockedCells="0" selectUnlockedCells="0"/>
  <mergeCells>
    <mergeCell ref="A2:D2"/>
    <mergeCell ref="A3:D3"/>
    <mergeCell ref="A4:D4"/>
    <mergeCell ref="A7:C7"/>
    <mergeCell ref="A8:C8"/>
    <mergeCell ref="A9:C9"/>
    <mergeCell ref="A11:C11"/>
    <mergeCell ref="A12:C12"/>
    <mergeCell ref="A14:C14"/>
    <mergeCell ref="A16:C16"/>
    <mergeCell ref="A17:C17"/>
    <mergeCell ref="A18:C18"/>
    <mergeCell ref="A20:D20"/>
    <mergeCell ref="A5:D5"/>
  </mergeCells>
  <pageMargins left="0.7" right="0.7" top="0.75" bottom="0.75" header="0.3" footer="0.3"/>
</worksheet>
</file>